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xr:revisionPtr revIDLastSave="32" documentId="8_{6EE715F8-FE30-4093-9373-3B3846EC030F}" xr6:coauthVersionLast="47" xr6:coauthVersionMax="47" xr10:uidLastSave="{C0CC9E1B-3642-49C4-9909-6EF133A8BBBA}"/>
  <bookViews>
    <workbookView xWindow="-120" yWindow="-120" windowWidth="29040" windowHeight="17640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6" sheetId="63" r:id="rId52"/>
    <sheet name="330" sheetId="24" r:id="rId53"/>
    <sheet name="307" sheetId="64" r:id="rId54"/>
    <sheet name="308" sheetId="27" r:id="rId55"/>
    <sheet name="311" sheetId="66" r:id="rId56"/>
    <sheet name="324" sheetId="75" r:id="rId57"/>
    <sheet name="331" sheetId="30" r:id="rId58"/>
    <sheet name="315" sheetId="69" r:id="rId59"/>
    <sheet name="326" sheetId="77" r:id="rId60"/>
    <sheet name="332" sheetId="33" r:id="rId61"/>
    <sheet name="316" sheetId="70" r:id="rId62"/>
    <sheet name="Div 6" sheetId="51" r:id="rId63"/>
    <sheet name="317" sheetId="71" r:id="rId64"/>
    <sheet name="310" sheetId="21" r:id="rId65"/>
    <sheet name="309" sheetId="65" r:id="rId66"/>
    <sheet name="313" sheetId="67" r:id="rId67"/>
    <sheet name="321" sheetId="73" r:id="rId68"/>
    <sheet name="322" sheetId="74" r:id="rId69"/>
    <sheet name="325" sheetId="76" r:id="rId70"/>
    <sheet name="327" sheetId="78" r:id="rId71"/>
    <sheet name="Div 4" sheetId="36" r:id="rId72"/>
    <sheet name="310 &amp; 491" sheetId="39" r:id="rId73"/>
    <sheet name="491" sheetId="42" r:id="rId74"/>
    <sheet name="405" sheetId="79" r:id="rId75"/>
    <sheet name="406" sheetId="80" r:id="rId76"/>
    <sheet name="411" sheetId="81" r:id="rId77"/>
    <sheet name="412" sheetId="82" r:id="rId78"/>
    <sheet name="413" sheetId="83" r:id="rId79"/>
    <sheet name="414" sheetId="84" r:id="rId80"/>
    <sheet name="415" sheetId="85" r:id="rId81"/>
    <sheet name="418" sheetId="86" r:id="rId82"/>
    <sheet name="423" sheetId="87" r:id="rId83"/>
    <sheet name="424" sheetId="88" r:id="rId84"/>
    <sheet name="425" sheetId="89" r:id="rId85"/>
    <sheet name="455" sheetId="95" r:id="rId86"/>
    <sheet name="492" sheetId="45" r:id="rId87"/>
    <sheet name="430" sheetId="90" r:id="rId88"/>
    <sheet name="433" sheetId="91" r:id="rId89"/>
    <sheet name="435" sheetId="92" r:id="rId90"/>
    <sheet name="444" sheetId="93" r:id="rId91"/>
    <sheet name="450" sheetId="94" r:id="rId92"/>
    <sheet name="Div 5" sheetId="48" r:id="rId93"/>
    <sheet name="501" sheetId="96" r:id="rId94"/>
    <sheet name="Dept" sheetId="97" state="hidden" r:id="rId95"/>
    <sheet name="OSR_Dept_Y0WUKY" sheetId="98" state="hidden" r:id="rId96"/>
    <sheet name="OSR_Summary (...56e5d78f_5JEYZH" sheetId="99" state="hidden" r:id="rId97"/>
  </sheets>
  <definedNames>
    <definedName name="OSRRefD13x_0" localSheetId="48">'300'!$D$13:$D$74</definedName>
    <definedName name="OSRRefD13x_0" localSheetId="49">'300 &amp; 317'!$D$13:$D$88</definedName>
    <definedName name="OSRRefD13x_0" localSheetId="53">'307'!$D$13:$D$24</definedName>
    <definedName name="OSRRefD13x_0" localSheetId="54">'308'!$D$13:$D$34</definedName>
    <definedName name="OSRRefD13x_0" localSheetId="64">'310'!$D$13:$D$21</definedName>
    <definedName name="OSRRefD13x_0" localSheetId="72">'310 &amp; 491'!$D$13:$D$24</definedName>
    <definedName name="OSRRefD13x_0" localSheetId="55">'311'!$D$13:$D$34</definedName>
    <definedName name="OSRRefD13x_0" localSheetId="66">'313'!$D$13:$D$16</definedName>
    <definedName name="OSRRefD13x_0" localSheetId="58">'315'!$D$13:$D$51</definedName>
    <definedName name="OSRRefD13x_0" localSheetId="61">'316'!$D$13:$D$23</definedName>
    <definedName name="OSRRefD13x_0" localSheetId="63">'317'!$D$13:$D$32</definedName>
    <definedName name="OSRRefD13x_0" localSheetId="67">'321'!$D$13:$D$14</definedName>
    <definedName name="OSRRefD13x_0" localSheetId="56">'324'!$D$13:$D$16</definedName>
    <definedName name="OSRRefD13x_0" localSheetId="69">'325'!$D$13:$D$14</definedName>
    <definedName name="OSRRefD13x_0" localSheetId="59">'326'!$D$13:$D$33</definedName>
    <definedName name="OSRRefD13x_0" localSheetId="70">'327'!$D$13:$D$14</definedName>
    <definedName name="OSRRefD13x_0" localSheetId="52">'330'!$D$13:$D$27</definedName>
    <definedName name="OSRRefD13x_0" localSheetId="57">'331'!$D$13:$D$51</definedName>
    <definedName name="OSRRefD13x_0" localSheetId="60">'332'!$D$13:$D$23</definedName>
    <definedName name="OSRRefD13x_0" localSheetId="74">'405'!$D$13:$D$14</definedName>
    <definedName name="OSRRefD13x_0" localSheetId="79">'414'!$D$13</definedName>
    <definedName name="OSRRefD13x_0" localSheetId="80">'415'!$D$13:$D$14</definedName>
    <definedName name="OSRRefD13x_0" localSheetId="88">'433'!$D$13:$D$15</definedName>
    <definedName name="OSRRefD13x_0" localSheetId="90">'444'!$D$13:$D$15</definedName>
    <definedName name="OSRRefD13x_0" localSheetId="91">'450'!$D$13:$D$15</definedName>
    <definedName name="OSRRefD13x_0" localSheetId="73">'491'!$D$13:$D$15</definedName>
    <definedName name="OSRRefD13x_0" localSheetId="86">'492'!$D$13:$D$15</definedName>
    <definedName name="OSRRefD13x_0" localSheetId="93">'501'!$D$13</definedName>
    <definedName name="OSRRefD13x_0" localSheetId="47">'Div 3'!$D$13:$D$77</definedName>
    <definedName name="OSRRefD13x_0" localSheetId="71">'Div 4'!$D$13:$D$17</definedName>
    <definedName name="OSRRefD13x_0" localSheetId="92">'Div 5'!$D$13</definedName>
    <definedName name="OSRRefD13x_0" localSheetId="62">'Div 6'!$D$13:$D$32</definedName>
    <definedName name="OSRRefD13x_0" localSheetId="2">Summary!$D$13:$D$94</definedName>
    <definedName name="OSRRefD16x_0" localSheetId="48">'300'!$D$77:$D$110</definedName>
    <definedName name="OSRRefD16x_0" localSheetId="49">'300 &amp; 317'!$D$91:$D$132</definedName>
    <definedName name="OSRRefD16x_0" localSheetId="53">'307'!$D$27:$D$36</definedName>
    <definedName name="OSRRefD16x_0" localSheetId="54">'308'!$D$37:$D$50</definedName>
    <definedName name="OSRRefD16x_0" localSheetId="64">'310'!$D$24:$D$25</definedName>
    <definedName name="OSRRefD16x_0" localSheetId="72">'310 &amp; 491'!$D$27:$D$28</definedName>
    <definedName name="OSRRefD16x_0" localSheetId="55">'311'!$D$37:$D$50</definedName>
    <definedName name="OSRRefD16x_0" localSheetId="66">'313'!$D$19</definedName>
    <definedName name="OSRRefD16x_0" localSheetId="58">'315'!$D$54:$D$73</definedName>
    <definedName name="OSRRefD16x_0" localSheetId="63">'317'!$D$35:$D$46</definedName>
    <definedName name="OSRRefD16x_0" localSheetId="67">'321'!$D$17</definedName>
    <definedName name="OSRRefD16x_0" localSheetId="68">'322'!$D$15</definedName>
    <definedName name="OSRRefD16x_0" localSheetId="56">'324'!$D$19:$D$21</definedName>
    <definedName name="OSRRefD16x_0" localSheetId="69">'325'!$D$17:$D$18</definedName>
    <definedName name="OSRRefD16x_0" localSheetId="59">'326'!$D$36:$D$39</definedName>
    <definedName name="OSRRefD16x_0" localSheetId="70">'327'!$D$17:$D$18</definedName>
    <definedName name="OSRRefD16x_0" localSheetId="52">'330'!$D$30:$D$39</definedName>
    <definedName name="OSRRefD16x_0" localSheetId="57">'331'!$D$54:$D$73</definedName>
    <definedName name="OSRRefD16x_0" localSheetId="60">'332'!$D$26:$D$27</definedName>
    <definedName name="OSRRefD16x_0" localSheetId="74">'405'!$D$17:$D$18</definedName>
    <definedName name="OSRRefD16x_0" localSheetId="80">'415'!$D$17:$D$18</definedName>
    <definedName name="OSRRefD16x_0" localSheetId="81">'418'!$D$15</definedName>
    <definedName name="OSRRefD16x_0" localSheetId="84">'425'!$D$15</definedName>
    <definedName name="OSRRefD16x_0" localSheetId="88">'433'!$D$18:$D$19</definedName>
    <definedName name="OSRRefD16x_0" localSheetId="90">'444'!$D$18:$D$19</definedName>
    <definedName name="OSRRefD16x_0" localSheetId="91">'450'!$D$18:$D$19</definedName>
    <definedName name="OSRRefD16x_0" localSheetId="73">'491'!$D$18:$D$19</definedName>
    <definedName name="OSRRefD16x_0" localSheetId="86">'492'!$D$18:$D$19</definedName>
    <definedName name="OSRRefD16x_0" localSheetId="47">'Div 3'!$D$80:$D$115</definedName>
    <definedName name="OSRRefD16x_0" localSheetId="71">'Div 4'!$D$20:$D$21</definedName>
    <definedName name="OSRRefD16x_0" localSheetId="62">'Div 6'!$D$35:$D$46</definedName>
    <definedName name="OSRRefD16x_0" localSheetId="2">Summary!$D$97:$D$140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'203'!$D$20:$D$28</definedName>
    <definedName name="OSRRefD22_0x_0" localSheetId="44">'204'!$D$20:$D$28</definedName>
    <definedName name="OSRRefD22_0x_0" localSheetId="45">'205'!$D$20:$D$27</definedName>
    <definedName name="OSRRefD22_0x_0" localSheetId="46">'206'!$D$20:$D$26</definedName>
    <definedName name="OSRRefD22_0x_0" localSheetId="48">'300'!$D$116:$D$125</definedName>
    <definedName name="OSRRefD22_0x_0" localSheetId="49">'300 &amp; 317'!$D$138:$D$147</definedName>
    <definedName name="OSRRefD22_0x_0" localSheetId="50">'301'!$D$20:$D$29</definedName>
    <definedName name="OSRRefD22_0x_0" localSheetId="51">'306'!$D$20:$D$23</definedName>
    <definedName name="OSRRefD22_0x_0" localSheetId="53">'307'!$D$42:$D$44</definedName>
    <definedName name="OSRRefD22_0x_0" localSheetId="54">'308'!$D$56:$D$64</definedName>
    <definedName name="OSRRefD22_0x_0" localSheetId="65">'309'!$D$20</definedName>
    <definedName name="OSRRefD22_0x_0" localSheetId="64">'310'!$D$31:$D$38</definedName>
    <definedName name="OSRRefD22_0x_0" localSheetId="72">'310 &amp; 491'!$D$34:$D$41</definedName>
    <definedName name="OSRRefD22_0x_0" localSheetId="55">'311'!$D$56:$D$64</definedName>
    <definedName name="OSRRefD22_0x_0" localSheetId="66">'313'!$D$25:$D$32</definedName>
    <definedName name="OSRRefD22_0x_0" localSheetId="58">'315'!$D$79:$D$86</definedName>
    <definedName name="OSRRefD22_0x_0" localSheetId="61">'316'!$D$31:$D$38</definedName>
    <definedName name="OSRRefD22_0x_0" localSheetId="63">'317'!$D$52:$D$60</definedName>
    <definedName name="OSRRefD22_0x_0" localSheetId="67">'321'!$D$23:$D$30</definedName>
    <definedName name="OSRRefD22_0x_0" localSheetId="68">'322'!$D$21:$D$25</definedName>
    <definedName name="OSRRefD22_0x_0" localSheetId="69">'325'!$D$24:$D$30</definedName>
    <definedName name="OSRRefD22_0x_0" localSheetId="59">'326'!$D$45:$D$52</definedName>
    <definedName name="OSRRefD22_0x_0" localSheetId="70">'327'!$D$24</definedName>
    <definedName name="OSRRefD22_0x_0" localSheetId="52">'330'!$D$45:$D$48</definedName>
    <definedName name="OSRRefD22_0x_0" localSheetId="57">'331'!$D$79:$D$86</definedName>
    <definedName name="OSRRefD22_0x_0" localSheetId="60">'332'!$D$33:$D$40</definedName>
    <definedName name="OSRRefD22_0x_0" localSheetId="74">'405'!$D$24:$D$31</definedName>
    <definedName name="OSRRefD22_0x_0" localSheetId="75">'406'!$D$20</definedName>
    <definedName name="OSRRefD22_0x_0" localSheetId="76">'411'!$D$20:$D$27</definedName>
    <definedName name="OSRRefD22_0x_0" localSheetId="77">'412'!$D$20</definedName>
    <definedName name="OSRRefD22_0x_0" localSheetId="78">'413'!$D$20:$D$24</definedName>
    <definedName name="OSRRefD22_0x_0" localSheetId="79">'414'!$D$21</definedName>
    <definedName name="OSRRefD22_0x_0" localSheetId="80">'415'!$D$24:$D$31</definedName>
    <definedName name="OSRRefD22_0x_0" localSheetId="81">'418'!$D$21:$D$28</definedName>
    <definedName name="OSRRefD22_0x_0" localSheetId="82">'423'!$D$20:$D$21</definedName>
    <definedName name="OSRRefD22_0x_0" localSheetId="83">'424'!$D$20</definedName>
    <definedName name="OSRRefD22_0x_0" localSheetId="84">'425'!$D$21:$D$25</definedName>
    <definedName name="OSRRefD22_0x_0" localSheetId="87">'430'!$D$20:$D$27</definedName>
    <definedName name="OSRRefD22_0x_0" localSheetId="88">'433'!$D$25:$D$33</definedName>
    <definedName name="OSRRefD22_0x_0" localSheetId="89">'435'!$D$20</definedName>
    <definedName name="OSRRefD22_0x_0" localSheetId="90">'444'!$D$25:$D$33</definedName>
    <definedName name="OSRRefD22_0x_0" localSheetId="91">'450'!$D$25:$D$33</definedName>
    <definedName name="OSRRefD22_0x_0" localSheetId="73">'491'!$D$25:$D$32</definedName>
    <definedName name="OSRRefD22_0x_0" localSheetId="86">'492'!$D$25:$D$33</definedName>
    <definedName name="OSRRefD22_0x_0" localSheetId="93">'501'!$D$21:$D$28</definedName>
    <definedName name="OSRRefD22_0x_0" localSheetId="39">'Div 2'!$D$20:$D$29</definedName>
    <definedName name="OSRRefD22_0x_0" localSheetId="47">'Div 3'!$D$121:$D$130</definedName>
    <definedName name="OSRRefD22_0x_0" localSheetId="71">'Div 4'!$D$27:$D$35</definedName>
    <definedName name="OSRRefD22_0x_0" localSheetId="92">'Div 5'!$D$21:$D$28</definedName>
    <definedName name="OSRRefD22_0x_0" localSheetId="62">'Div 6'!$D$52:$D$60</definedName>
    <definedName name="OSRRefD22_0x_0" localSheetId="2">Summary!$D$146:$D$155</definedName>
    <definedName name="OSRRefD22_10x_0" localSheetId="41">'201'!$D$50:$D$51</definedName>
    <definedName name="OSRRefD22_10x_0" localSheetId="42">'202'!$D$53</definedName>
    <definedName name="OSRRefD22_10x_0" localSheetId="43">'203'!$D$56</definedName>
    <definedName name="OSRRefD22_10x_0" localSheetId="48">'300'!$D$154</definedName>
    <definedName name="OSRRefD22_10x_0" localSheetId="49">'300 &amp; 317'!$D$176</definedName>
    <definedName name="OSRRefD22_10x_0" localSheetId="50">'301'!$D$56</definedName>
    <definedName name="OSRRefD22_10x_0" localSheetId="53">'307'!$D$68:$D$70</definedName>
    <definedName name="OSRRefD22_10x_0" localSheetId="54">'308'!$D$92</definedName>
    <definedName name="OSRRefD22_10x_0" localSheetId="64">'310'!$D$61:$D$62</definedName>
    <definedName name="OSRRefD22_10x_0" localSheetId="72">'310 &amp; 491'!$D$67</definedName>
    <definedName name="OSRRefD22_10x_0" localSheetId="55">'311'!$D$92</definedName>
    <definedName name="OSRRefD22_10x_0" localSheetId="58">'315'!$D$115:$D$117</definedName>
    <definedName name="OSRRefD22_10x_0" localSheetId="61">'316'!$D$66</definedName>
    <definedName name="OSRRefD22_10x_0" localSheetId="67">'321'!$D$57</definedName>
    <definedName name="OSRRefD22_10x_0" localSheetId="69">'325'!$D$54:$D$56</definedName>
    <definedName name="OSRRefD22_10x_0" localSheetId="59">'326'!$D$77:$D$78</definedName>
    <definedName name="OSRRefD22_10x_0" localSheetId="52">'330'!$D$73:$D$75</definedName>
    <definedName name="OSRRefD22_10x_0" localSheetId="57">'331'!$D$113</definedName>
    <definedName name="OSRRefD22_10x_0" localSheetId="60">'332'!$D$68</definedName>
    <definedName name="OSRRefD22_10x_0" localSheetId="74">'405'!$D$56:$D$57</definedName>
    <definedName name="OSRRefD22_10x_0" localSheetId="76">'411'!$D$54:$D$55</definedName>
    <definedName name="OSRRefD22_10x_0" localSheetId="80">'415'!$D$55:$D$56</definedName>
    <definedName name="OSRRefD22_10x_0" localSheetId="81">'418'!$D$53:$D$55</definedName>
    <definedName name="OSRRefD22_10x_0" localSheetId="88">'433'!$D$56:$D$57</definedName>
    <definedName name="OSRRefD22_10x_0" localSheetId="90">'444'!$D$57:$D$58</definedName>
    <definedName name="OSRRefD22_10x_0" localSheetId="91">'450'!$D$57</definedName>
    <definedName name="OSRRefD22_10x_0" localSheetId="73">'491'!$D$57</definedName>
    <definedName name="OSRRefD22_10x_0" localSheetId="86">'492'!$D$58</definedName>
    <definedName name="OSRRefD22_10x_0" localSheetId="39">'Div 2'!$D$55</definedName>
    <definedName name="OSRRefD22_10x_0" localSheetId="47">'Div 3'!$D$159</definedName>
    <definedName name="OSRRefD22_10x_0" localSheetId="71">'Div 4'!$D$61</definedName>
    <definedName name="OSRRefD22_10x_0" localSheetId="2">Summary!$D$183:$D$184</definedName>
    <definedName name="OSRRefD22_11x_0" localSheetId="41">'201'!$D$53</definedName>
    <definedName name="OSRRefD22_11x_0" localSheetId="42">'202'!$D$55</definedName>
    <definedName name="OSRRefD22_11x_0" localSheetId="43">'203'!$D$58</definedName>
    <definedName name="OSRRefD22_11x_0" localSheetId="48">'300'!$D$156</definedName>
    <definedName name="OSRRefD22_11x_0" localSheetId="49">'300 &amp; 317'!$D$178</definedName>
    <definedName name="OSRRefD22_11x_0" localSheetId="50">'301'!$D$58</definedName>
    <definedName name="OSRRefD22_11x_0" localSheetId="53">'307'!$D$72</definedName>
    <definedName name="OSRRefD22_11x_0" localSheetId="54">'308'!$D$94:$D$95</definedName>
    <definedName name="OSRRefD22_11x_0" localSheetId="64">'310'!$D$64:$D$66</definedName>
    <definedName name="OSRRefD22_11x_0" localSheetId="72">'310 &amp; 491'!$D$69</definedName>
    <definedName name="OSRRefD22_11x_0" localSheetId="55">'311'!$D$94:$D$95</definedName>
    <definedName name="OSRRefD22_11x_0" localSheetId="58">'315'!$D$119</definedName>
    <definedName name="OSRRefD22_11x_0" localSheetId="61">'316'!$D$68</definedName>
    <definedName name="OSRRefD22_11x_0" localSheetId="69">'325'!$D$58:$D$61</definedName>
    <definedName name="OSRRefD22_11x_0" localSheetId="59">'326'!$D$80</definedName>
    <definedName name="OSRRefD22_11x_0" localSheetId="52">'330'!$D$77</definedName>
    <definedName name="OSRRefD22_11x_0" localSheetId="57">'331'!$D$115:$D$116</definedName>
    <definedName name="OSRRefD22_11x_0" localSheetId="60">'332'!$D$70</definedName>
    <definedName name="OSRRefD22_11x_0" localSheetId="74">'405'!$D$59:$D$64</definedName>
    <definedName name="OSRRefD22_11x_0" localSheetId="76">'411'!$D$57:$D$58</definedName>
    <definedName name="OSRRefD22_11x_0" localSheetId="80">'415'!$D$58:$D$61</definedName>
    <definedName name="OSRRefD22_11x_0" localSheetId="81">'418'!$D$57</definedName>
    <definedName name="OSRRefD22_11x_0" localSheetId="88">'433'!$D$59:$D$61</definedName>
    <definedName name="OSRRefD22_11x_0" localSheetId="90">'444'!$D$60:$D$62</definedName>
    <definedName name="OSRRefD22_11x_0" localSheetId="91">'450'!$D$59</definedName>
    <definedName name="OSRRefD22_11x_0" localSheetId="73">'491'!$D$59</definedName>
    <definedName name="OSRRefD22_11x_0" localSheetId="86">'492'!$D$60</definedName>
    <definedName name="OSRRefD22_11x_0" localSheetId="39">'Div 2'!$D$57:$D$59</definedName>
    <definedName name="OSRRefD22_11x_0" localSheetId="47">'Div 3'!$D$161</definedName>
    <definedName name="OSRRefD22_11x_0" localSheetId="71">'Div 4'!$D$63</definedName>
    <definedName name="OSRRefD22_11x_0" localSheetId="2">Summary!$D$186</definedName>
    <definedName name="OSRRefD22_12x_0" localSheetId="48">'300'!$D$158:$D$159</definedName>
    <definedName name="OSRRefD22_12x_0" localSheetId="49">'300 &amp; 317'!$D$180:$D$181</definedName>
    <definedName name="OSRRefD22_12x_0" localSheetId="50">'301'!$D$60</definedName>
    <definedName name="OSRRefD22_12x_0" localSheetId="54">'308'!$D$97:$D$98</definedName>
    <definedName name="OSRRefD22_12x_0" localSheetId="64">'310'!$D$68:$D$72</definedName>
    <definedName name="OSRRefD22_12x_0" localSheetId="72">'310 &amp; 491'!$D$71</definedName>
    <definedName name="OSRRefD22_12x_0" localSheetId="55">'311'!$D$97:$D$98</definedName>
    <definedName name="OSRRefD22_12x_0" localSheetId="58">'315'!$D$121</definedName>
    <definedName name="OSRRefD22_12x_0" localSheetId="69">'325'!$D$63</definedName>
    <definedName name="OSRRefD22_12x_0" localSheetId="59">'326'!$D$82:$D$85</definedName>
    <definedName name="OSRRefD22_12x_0" localSheetId="57">'331'!$D$118:$D$119</definedName>
    <definedName name="OSRRefD22_12x_0" localSheetId="74">'405'!$D$66</definedName>
    <definedName name="OSRRefD22_12x_0" localSheetId="76">'411'!$D$60</definedName>
    <definedName name="OSRRefD22_12x_0" localSheetId="80">'415'!$D$63</definedName>
    <definedName name="OSRRefD22_12x_0" localSheetId="88">'433'!$D$63:$D$69</definedName>
    <definedName name="OSRRefD22_12x_0" localSheetId="90">'444'!$D$64:$D$70</definedName>
    <definedName name="OSRRefD22_12x_0" localSheetId="91">'450'!$D$61</definedName>
    <definedName name="OSRRefD22_12x_0" localSheetId="73">'491'!$D$61</definedName>
    <definedName name="OSRRefD22_12x_0" localSheetId="86">'492'!$D$62:$D$64</definedName>
    <definedName name="OSRRefD22_12x_0" localSheetId="39">'Div 2'!$D$61:$D$63</definedName>
    <definedName name="OSRRefD22_12x_0" localSheetId="47">'Div 3'!$D$163</definedName>
    <definedName name="OSRRefD22_12x_0" localSheetId="71">'Div 4'!$D$65</definedName>
    <definedName name="OSRRefD22_12x_0" localSheetId="2">Summary!$D$188</definedName>
    <definedName name="OSRRefD22_13x_0" localSheetId="48">'300'!$D$161</definedName>
    <definedName name="OSRRefD22_13x_0" localSheetId="49">'300 &amp; 317'!$D$183</definedName>
    <definedName name="OSRRefD22_13x_0" localSheetId="50">'301'!$D$62:$D$65</definedName>
    <definedName name="OSRRefD22_13x_0" localSheetId="54">'308'!$D$100</definedName>
    <definedName name="OSRRefD22_13x_0" localSheetId="64">'310'!$D$74</definedName>
    <definedName name="OSRRefD22_13x_0" localSheetId="72">'310 &amp; 491'!$D$73:$D$75</definedName>
    <definedName name="OSRRefD22_13x_0" localSheetId="55">'311'!$D$100</definedName>
    <definedName name="OSRRefD22_13x_0" localSheetId="69">'325'!$D$65</definedName>
    <definedName name="OSRRefD22_13x_0" localSheetId="59">'326'!$D$87</definedName>
    <definedName name="OSRRefD22_13x_0" localSheetId="57">'331'!$D$121:$D$122</definedName>
    <definedName name="OSRRefD22_13x_0" localSheetId="74">'405'!$D$68</definedName>
    <definedName name="OSRRefD22_13x_0" localSheetId="76">'411'!$D$62</definedName>
    <definedName name="OSRRefD22_13x_0" localSheetId="80">'415'!$D$65:$D$70</definedName>
    <definedName name="OSRRefD22_13x_0" localSheetId="88">'433'!$D$71</definedName>
    <definedName name="OSRRefD22_13x_0" localSheetId="90">'444'!$D$72</definedName>
    <definedName name="OSRRefD22_13x_0" localSheetId="91">'450'!$D$63:$D$64</definedName>
    <definedName name="OSRRefD22_13x_0" localSheetId="73">'491'!$D$63:$D$65</definedName>
    <definedName name="OSRRefD22_13x_0" localSheetId="86">'492'!$D$66:$D$68</definedName>
    <definedName name="OSRRefD22_13x_0" localSheetId="39">'Div 2'!$D$65</definedName>
    <definedName name="OSRRefD22_13x_0" localSheetId="47">'Div 3'!$D$165:$D$166</definedName>
    <definedName name="OSRRefD22_13x_0" localSheetId="71">'Div 4'!$D$67</definedName>
    <definedName name="OSRRefD22_13x_0" localSheetId="2">Summary!$D$190</definedName>
    <definedName name="OSRRefD22_14x_0" localSheetId="48">'300'!$D$163:$D$166</definedName>
    <definedName name="OSRRefD22_14x_0" localSheetId="49">'300 &amp; 317'!$D$185:$D$188</definedName>
    <definedName name="OSRRefD22_14x_0" localSheetId="50">'301'!$D$67:$D$69</definedName>
    <definedName name="OSRRefD22_14x_0" localSheetId="64">'310'!$D$76</definedName>
    <definedName name="OSRRefD22_14x_0" localSheetId="72">'310 &amp; 491'!$D$77:$D$80</definedName>
    <definedName name="OSRRefD22_14x_0" localSheetId="59">'326'!$D$89</definedName>
    <definedName name="OSRRefD22_14x_0" localSheetId="57">'331'!$D$124</definedName>
    <definedName name="OSRRefD22_14x_0" localSheetId="76">'411'!$D$64</definedName>
    <definedName name="OSRRefD22_14x_0" localSheetId="80">'415'!$D$72</definedName>
    <definedName name="OSRRefD22_14x_0" localSheetId="90">'444'!$D$74</definedName>
    <definedName name="OSRRefD22_14x_0" localSheetId="91">'450'!$D$66:$D$70</definedName>
    <definedName name="OSRRefD22_14x_0" localSheetId="73">'491'!$D$67:$D$70</definedName>
    <definedName name="OSRRefD22_14x_0" localSheetId="86">'492'!$D$70:$D$77</definedName>
    <definedName name="OSRRefD22_14x_0" localSheetId="39">'Div 2'!$D$67</definedName>
    <definedName name="OSRRefD22_14x_0" localSheetId="47">'Div 3'!$D$168</definedName>
    <definedName name="OSRRefD22_14x_0" localSheetId="71">'Div 4'!$D$69</definedName>
    <definedName name="OSRRefD22_14x_0" localSheetId="2">Summary!$D$192:$D$193</definedName>
    <definedName name="OSRRefD22_15x_0" localSheetId="48">'300'!$D$168:$D$170</definedName>
    <definedName name="OSRRefD22_15x_0" localSheetId="49">'300 &amp; 317'!$D$190:$D$192</definedName>
    <definedName name="OSRRefD22_15x_0" localSheetId="50">'301'!$D$71</definedName>
    <definedName name="OSRRefD22_15x_0" localSheetId="72">'310 &amp; 491'!$D$82</definedName>
    <definedName name="OSRRefD22_15x_0" localSheetId="59">'326'!$D$91</definedName>
    <definedName name="OSRRefD22_15x_0" localSheetId="57">'331'!$D$126:$D$129</definedName>
    <definedName name="OSRRefD22_15x_0" localSheetId="80">'415'!$D$74</definedName>
    <definedName name="OSRRefD22_15x_0" localSheetId="91">'450'!$D$72</definedName>
    <definedName name="OSRRefD22_15x_0" localSheetId="73">'491'!$D$72</definedName>
    <definedName name="OSRRefD22_15x_0" localSheetId="86">'492'!$D$79</definedName>
    <definedName name="OSRRefD22_15x_0" localSheetId="39">'Div 2'!$D$69:$D$73</definedName>
    <definedName name="OSRRefD22_15x_0" localSheetId="47">'Div 3'!$D$170:$D$173</definedName>
    <definedName name="OSRRefD22_15x_0" localSheetId="71">'Div 4'!$D$71:$D$73</definedName>
    <definedName name="OSRRefD22_15x_0" localSheetId="2">Summary!$D$195</definedName>
    <definedName name="OSRRefD22_16x_0" localSheetId="48">'300'!$D$172:$D$175</definedName>
    <definedName name="OSRRefD22_16x_0" localSheetId="49">'300 &amp; 317'!$D$194:$D$197</definedName>
    <definedName name="OSRRefD22_16x_0" localSheetId="50">'301'!$D$73:$D$77</definedName>
    <definedName name="OSRRefD22_16x_0" localSheetId="72">'310 &amp; 491'!$D$84:$D$90</definedName>
    <definedName name="OSRRefD22_16x_0" localSheetId="57">'331'!$D$131</definedName>
    <definedName name="OSRRefD22_16x_0" localSheetId="91">'450'!$D$74</definedName>
    <definedName name="OSRRefD22_16x_0" localSheetId="73">'491'!$D$74:$D$80</definedName>
    <definedName name="OSRRefD22_16x_0" localSheetId="86">'492'!$D$81</definedName>
    <definedName name="OSRRefD22_16x_0" localSheetId="39">'Div 2'!$D$75:$D$76</definedName>
    <definedName name="OSRRefD22_16x_0" localSheetId="47">'Div 3'!$D$175:$D$177</definedName>
    <definedName name="OSRRefD22_16x_0" localSheetId="71">'Div 4'!$D$75:$D$78</definedName>
    <definedName name="OSRRefD22_16x_0" localSheetId="2">Summary!$D$197</definedName>
    <definedName name="OSRRefD22_17x_0" localSheetId="48">'300'!$D$177:$D$178</definedName>
    <definedName name="OSRRefD22_17x_0" localSheetId="49">'300 &amp; 317'!$D$199:$D$200</definedName>
    <definedName name="OSRRefD22_17x_0" localSheetId="50">'301'!$D$79</definedName>
    <definedName name="OSRRefD22_17x_0" localSheetId="72">'310 &amp; 491'!$D$92</definedName>
    <definedName name="OSRRefD22_17x_0" localSheetId="57">'331'!$D$133</definedName>
    <definedName name="OSRRefD22_17x_0" localSheetId="73">'491'!$D$82</definedName>
    <definedName name="OSRRefD22_17x_0" localSheetId="86">'492'!$D$83:$D$84</definedName>
    <definedName name="OSRRefD22_17x_0" localSheetId="39">'Div 2'!$D$78</definedName>
    <definedName name="OSRRefD22_17x_0" localSheetId="47">'Div 3'!$D$179:$D$183</definedName>
    <definedName name="OSRRefD22_17x_0" localSheetId="71">'Div 4'!$D$80</definedName>
    <definedName name="OSRRefD22_17x_0" localSheetId="2">Summary!$D$199:$D$202</definedName>
    <definedName name="OSRRefD22_18x_0" localSheetId="48">'300'!$D$180:$D$185</definedName>
    <definedName name="OSRRefD22_18x_0" localSheetId="49">'300 &amp; 317'!$D$202:$D$207</definedName>
    <definedName name="OSRRefD22_18x_0" localSheetId="50">'301'!$D$81</definedName>
    <definedName name="OSRRefD22_18x_0" localSheetId="72">'310 &amp; 491'!$D$94</definedName>
    <definedName name="OSRRefD22_18x_0" localSheetId="57">'331'!$D$135</definedName>
    <definedName name="OSRRefD22_18x_0" localSheetId="73">'491'!$D$84</definedName>
    <definedName name="OSRRefD22_18x_0" localSheetId="39">'Div 2'!$D$80</definedName>
    <definedName name="OSRRefD22_18x_0" localSheetId="47">'Div 3'!$D$185:$D$186</definedName>
    <definedName name="OSRRefD22_18x_0" localSheetId="71">'Div 4'!$D$82:$D$89</definedName>
    <definedName name="OSRRefD22_18x_0" localSheetId="2">Summary!$D$204:$D$206</definedName>
    <definedName name="OSRRefD22_19x_0" localSheetId="48">'300'!$D$187:$D$188</definedName>
    <definedName name="OSRRefD22_19x_0" localSheetId="49">'300 &amp; 317'!$D$209:$D$210</definedName>
    <definedName name="OSRRefD22_19x_0" localSheetId="50">'301'!$D$83:$D$84</definedName>
    <definedName name="OSRRefD22_19x_0" localSheetId="72">'310 &amp; 491'!$D$96</definedName>
    <definedName name="OSRRefD22_19x_0" localSheetId="73">'491'!$D$86</definedName>
    <definedName name="OSRRefD22_19x_0" localSheetId="47">'Div 3'!$D$188:$D$194</definedName>
    <definedName name="OSRRefD22_19x_0" localSheetId="71">'Div 4'!$D$91</definedName>
    <definedName name="OSRRefD22_19x_0" localSheetId="2">Summary!$D$208:$D$212</definedName>
    <definedName name="OSRRefD22_1x_0" localSheetId="40">'200'!$D$22</definedName>
    <definedName name="OSRRefD22_1x_0" localSheetId="41">'201'!$D$29:$D$30</definedName>
    <definedName name="OSRRefD22_1x_0" localSheetId="42">'202'!$D$29:$D$31</definedName>
    <definedName name="OSRRefD22_1x_0" localSheetId="43">'203'!$D$30:$D$33</definedName>
    <definedName name="OSRRefD22_1x_0" localSheetId="44">'204'!$D$30:$D$32</definedName>
    <definedName name="OSRRefD22_1x_0" localSheetId="45">'205'!$D$29</definedName>
    <definedName name="OSRRefD22_1x_0" localSheetId="46">'206'!$D$28:$D$30</definedName>
    <definedName name="OSRRefD22_1x_0" localSheetId="48">'300'!$D$127:$D$133</definedName>
    <definedName name="OSRRefD22_1x_0" localSheetId="49">'300 &amp; 317'!$D$149:$D$155</definedName>
    <definedName name="OSRRefD22_1x_0" localSheetId="50">'301'!$D$31:$D$37</definedName>
    <definedName name="OSRRefD22_1x_0" localSheetId="51">'306'!$D$25:$D$26</definedName>
    <definedName name="OSRRefD22_1x_0" localSheetId="53">'307'!$D$46:$D$47</definedName>
    <definedName name="OSRRefD22_1x_0" localSheetId="54">'308'!$D$66:$D$72</definedName>
    <definedName name="OSRRefD22_1x_0" localSheetId="65">'309'!$D$22:$D$23</definedName>
    <definedName name="OSRRefD22_1x_0" localSheetId="64">'310'!$D$40:$D$42</definedName>
    <definedName name="OSRRefD22_1x_0" localSheetId="72">'310 &amp; 491'!$D$43:$D$47</definedName>
    <definedName name="OSRRefD22_1x_0" localSheetId="55">'311'!$D$66:$D$72</definedName>
    <definedName name="OSRRefD22_1x_0" localSheetId="66">'313'!$D$34</definedName>
    <definedName name="OSRRefD22_1x_0" localSheetId="58">'315'!$D$88:$D$92</definedName>
    <definedName name="OSRRefD22_1x_0" localSheetId="61">'316'!$D$40:$D$42</definedName>
    <definedName name="OSRRefD22_1x_0" localSheetId="63">'317'!$D$62:$D$66</definedName>
    <definedName name="OSRRefD22_1x_0" localSheetId="67">'321'!$D$32:$D$34</definedName>
    <definedName name="OSRRefD22_1x_0" localSheetId="68">'322'!$D$27</definedName>
    <definedName name="OSRRefD22_1x_0" localSheetId="69">'325'!$D$32:$D$34</definedName>
    <definedName name="OSRRefD22_1x_0" localSheetId="59">'326'!$D$54:$D$58</definedName>
    <definedName name="OSRRefD22_1x_0" localSheetId="52">'330'!$D$50:$D$51</definedName>
    <definedName name="OSRRefD22_1x_0" localSheetId="57">'331'!$D$88:$D$92</definedName>
    <definedName name="OSRRefD22_1x_0" localSheetId="60">'332'!$D$42:$D$44</definedName>
    <definedName name="OSRRefD22_1x_0" localSheetId="74">'405'!$D$33:$D$36</definedName>
    <definedName name="OSRRefD22_1x_0" localSheetId="75">'406'!$D$22</definedName>
    <definedName name="OSRRefD22_1x_0" localSheetId="76">'411'!$D$29:$D$33</definedName>
    <definedName name="OSRRefD22_1x_0" localSheetId="77">'412'!$D$22</definedName>
    <definedName name="OSRRefD22_1x_0" localSheetId="78">'413'!$D$26</definedName>
    <definedName name="OSRRefD22_1x_0" localSheetId="79">'414'!$D$23</definedName>
    <definedName name="OSRRefD22_1x_0" localSheetId="80">'415'!$D$33:$D$36</definedName>
    <definedName name="OSRRefD22_1x_0" localSheetId="81">'418'!$D$30:$D$33</definedName>
    <definedName name="OSRRefD22_1x_0" localSheetId="82">'423'!$D$23</definedName>
    <definedName name="OSRRefD22_1x_0" localSheetId="83">'424'!$D$22</definedName>
    <definedName name="OSRRefD22_1x_0" localSheetId="84">'425'!$D$27</definedName>
    <definedName name="OSRRefD22_1x_0" localSheetId="87">'430'!$D$29</definedName>
    <definedName name="OSRRefD22_1x_0" localSheetId="88">'433'!$D$35:$D$38</definedName>
    <definedName name="OSRRefD22_1x_0" localSheetId="90">'444'!$D$35:$D$39</definedName>
    <definedName name="OSRRefD22_1x_0" localSheetId="91">'450'!$D$35:$D$39</definedName>
    <definedName name="OSRRefD22_1x_0" localSheetId="73">'491'!$D$34:$D$38</definedName>
    <definedName name="OSRRefD22_1x_0" localSheetId="86">'492'!$D$35:$D$40</definedName>
    <definedName name="OSRRefD22_1x_0" localSheetId="93">'501'!$D$30:$D$35</definedName>
    <definedName name="OSRRefD22_1x_0" localSheetId="39">'Div 2'!$D$31:$D$36</definedName>
    <definedName name="OSRRefD22_1x_0" localSheetId="47">'Div 3'!$D$132:$D$138</definedName>
    <definedName name="OSRRefD22_1x_0" localSheetId="71">'Div 4'!$D$37:$D$42</definedName>
    <definedName name="OSRRefD22_1x_0" localSheetId="92">'Div 5'!$D$30:$D$35</definedName>
    <definedName name="OSRRefD22_1x_0" localSheetId="62">'Div 6'!$D$62:$D$66</definedName>
    <definedName name="OSRRefD22_1x_0" localSheetId="2">Summary!$D$157:$D$163</definedName>
    <definedName name="OSRRefD22_20x_0" localSheetId="48">'300'!$D$190</definedName>
    <definedName name="OSRRefD22_20x_0" localSheetId="49">'300 &amp; 317'!$D$212</definedName>
    <definedName name="OSRRefD22_20x_0" localSheetId="50">'301'!$D$86</definedName>
    <definedName name="OSRRefD22_20x_0" localSheetId="47">'Div 3'!$D$196:$D$197</definedName>
    <definedName name="OSRRefD22_20x_0" localSheetId="71">'Div 4'!$D$93</definedName>
    <definedName name="OSRRefD22_20x_0" localSheetId="2">Summary!$D$214:$D$215</definedName>
    <definedName name="OSRRefD22_21x_0" localSheetId="48">'300'!$D$192:$D$194</definedName>
    <definedName name="OSRRefD22_21x_0" localSheetId="49">'300 &amp; 317'!$D$214:$D$216</definedName>
    <definedName name="OSRRefD22_21x_0" localSheetId="47">'Div 3'!$D$199</definedName>
    <definedName name="OSRRefD22_21x_0" localSheetId="71">'Div 4'!$D$95:$D$96</definedName>
    <definedName name="OSRRefD22_21x_0" localSheetId="2">Summary!$D$217:$D$225</definedName>
    <definedName name="OSRRefD22_22x_0" localSheetId="48">'300'!$D$196</definedName>
    <definedName name="OSRRefD22_22x_0" localSheetId="49">'300 &amp; 317'!$D$218</definedName>
    <definedName name="OSRRefD22_22x_0" localSheetId="47">'Div 3'!$D$201:$D$203</definedName>
    <definedName name="OSRRefD22_22x_0" localSheetId="71">'Div 4'!$D$98</definedName>
    <definedName name="OSRRefD22_22x_0" localSheetId="2">Summary!$D$227:$D$228</definedName>
    <definedName name="OSRRefD22_23x_0" localSheetId="47">'Div 3'!$D$205</definedName>
    <definedName name="OSRRefD22_23x_0" localSheetId="2">Summary!$D$230</definedName>
    <definedName name="OSRRefD22_24x_0" localSheetId="2">Summary!$D$232:$D$234</definedName>
    <definedName name="OSRRefD22_25x_0" localSheetId="2">Summary!$D$236</definedName>
    <definedName name="OSRRefD22_2x_0" localSheetId="40">'200'!$D$24</definedName>
    <definedName name="OSRRefD22_2x_0" localSheetId="41">'201'!$D$32</definedName>
    <definedName name="OSRRefD22_2x_0" localSheetId="42">'202'!$D$33</definedName>
    <definedName name="OSRRefD22_2x_0" localSheetId="43">'203'!$D$35</definedName>
    <definedName name="OSRRefD22_2x_0" localSheetId="44">'204'!$D$34</definedName>
    <definedName name="OSRRefD22_2x_0" localSheetId="45">'205'!$D$31</definedName>
    <definedName name="OSRRefD22_2x_0" localSheetId="46">'206'!$D$32</definedName>
    <definedName name="OSRRefD22_2x_0" localSheetId="48">'300'!$D$135</definedName>
    <definedName name="OSRRefD22_2x_0" localSheetId="49">'300 &amp; 317'!$D$157</definedName>
    <definedName name="OSRRefD22_2x_0" localSheetId="50">'301'!$D$39</definedName>
    <definedName name="OSRRefD22_2x_0" localSheetId="51">'306'!$D$28</definedName>
    <definedName name="OSRRefD22_2x_0" localSheetId="53">'307'!$D$49</definedName>
    <definedName name="OSRRefD22_2x_0" localSheetId="54">'308'!$D$74</definedName>
    <definedName name="OSRRefD22_2x_0" localSheetId="65">'309'!$D$25:$D$26</definedName>
    <definedName name="OSRRefD22_2x_0" localSheetId="64">'310'!$D$44</definedName>
    <definedName name="OSRRefD22_2x_0" localSheetId="72">'310 &amp; 491'!$D$49</definedName>
    <definedName name="OSRRefD22_2x_0" localSheetId="55">'311'!$D$74</definedName>
    <definedName name="OSRRefD22_2x_0" localSheetId="66">'313'!$D$36</definedName>
    <definedName name="OSRRefD22_2x_0" localSheetId="58">'315'!$D$94</definedName>
    <definedName name="OSRRefD22_2x_0" localSheetId="61">'316'!$D$44</definedName>
    <definedName name="OSRRefD22_2x_0" localSheetId="63">'317'!$D$68</definedName>
    <definedName name="OSRRefD22_2x_0" localSheetId="67">'321'!$D$36</definedName>
    <definedName name="OSRRefD22_2x_0" localSheetId="68">'322'!$D$29</definedName>
    <definedName name="OSRRefD22_2x_0" localSheetId="69">'325'!$D$36</definedName>
    <definedName name="OSRRefD22_2x_0" localSheetId="59">'326'!$D$60</definedName>
    <definedName name="OSRRefD22_2x_0" localSheetId="52">'330'!$D$53</definedName>
    <definedName name="OSRRefD22_2x_0" localSheetId="57">'331'!$D$94</definedName>
    <definedName name="OSRRefD22_2x_0" localSheetId="60">'332'!$D$46</definedName>
    <definedName name="OSRRefD22_2x_0" localSheetId="74">'405'!$D$38</definedName>
    <definedName name="OSRRefD22_2x_0" localSheetId="75">'406'!$D$24</definedName>
    <definedName name="OSRRefD22_2x_0" localSheetId="76">'411'!$D$35</definedName>
    <definedName name="OSRRefD22_2x_0" localSheetId="77">'412'!$D$24</definedName>
    <definedName name="OSRRefD22_2x_0" localSheetId="78">'413'!$D$28</definedName>
    <definedName name="OSRRefD22_2x_0" localSheetId="79">'414'!$D$25</definedName>
    <definedName name="OSRRefD22_2x_0" localSheetId="80">'415'!$D$38</definedName>
    <definedName name="OSRRefD22_2x_0" localSheetId="81">'418'!$D$35</definedName>
    <definedName name="OSRRefD22_2x_0" localSheetId="82">'423'!$D$25</definedName>
    <definedName name="OSRRefD22_2x_0" localSheetId="83">'424'!$D$24</definedName>
    <definedName name="OSRRefD22_2x_0" localSheetId="84">'425'!$D$29</definedName>
    <definedName name="OSRRefD22_2x_0" localSheetId="87">'430'!$D$31</definedName>
    <definedName name="OSRRefD22_2x_0" localSheetId="88">'433'!$D$40</definedName>
    <definedName name="OSRRefD22_2x_0" localSheetId="90">'444'!$D$41</definedName>
    <definedName name="OSRRefD22_2x_0" localSheetId="91">'450'!$D$41</definedName>
    <definedName name="OSRRefD22_2x_0" localSheetId="73">'491'!$D$40</definedName>
    <definedName name="OSRRefD22_2x_0" localSheetId="86">'492'!$D$42</definedName>
    <definedName name="OSRRefD22_2x_0" localSheetId="93">'501'!$D$37</definedName>
    <definedName name="OSRRefD22_2x_0" localSheetId="39">'Div 2'!$D$38</definedName>
    <definedName name="OSRRefD22_2x_0" localSheetId="47">'Div 3'!$D$140</definedName>
    <definedName name="OSRRefD22_2x_0" localSheetId="71">'Div 4'!$D$44</definedName>
    <definedName name="OSRRefD22_2x_0" localSheetId="92">'Div 5'!$D$37</definedName>
    <definedName name="OSRRefD22_2x_0" localSheetId="62">'Div 6'!$D$68</definedName>
    <definedName name="OSRRefD22_2x_0" localSheetId="2">Summary!$D$165</definedName>
    <definedName name="OSRRefD22_3x_0" localSheetId="40">'200'!$D$26</definedName>
    <definedName name="OSRRefD22_3x_0" localSheetId="41">'201'!$D$34</definedName>
    <definedName name="OSRRefD22_3x_0" localSheetId="42">'202'!$D$35</definedName>
    <definedName name="OSRRefD22_3x_0" localSheetId="43">'203'!$D$37</definedName>
    <definedName name="OSRRefD22_3x_0" localSheetId="44">'204'!$D$36</definedName>
    <definedName name="OSRRefD22_3x_0" localSheetId="45">'205'!$D$33:$D$34</definedName>
    <definedName name="OSRRefD22_3x_0" localSheetId="46">'206'!$D$34</definedName>
    <definedName name="OSRRefD22_3x_0" localSheetId="48">'300'!$D$137</definedName>
    <definedName name="OSRRefD22_3x_0" localSheetId="49">'300 &amp; 317'!$D$159</definedName>
    <definedName name="OSRRefD22_3x_0" localSheetId="50">'301'!$D$41</definedName>
    <definedName name="OSRRefD22_3x_0" localSheetId="51">'306'!$D$30</definedName>
    <definedName name="OSRRefD22_3x_0" localSheetId="53">'307'!$D$51</definedName>
    <definedName name="OSRRefD22_3x_0" localSheetId="54">'308'!$D$76</definedName>
    <definedName name="OSRRefD22_3x_0" localSheetId="65">'309'!$D$28</definedName>
    <definedName name="OSRRefD22_3x_0" localSheetId="64">'310'!$D$46</definedName>
    <definedName name="OSRRefD22_3x_0" localSheetId="72">'310 &amp; 491'!$D$51</definedName>
    <definedName name="OSRRefD22_3x_0" localSheetId="55">'311'!$D$76</definedName>
    <definedName name="OSRRefD22_3x_0" localSheetId="66">'313'!$D$38</definedName>
    <definedName name="OSRRefD22_3x_0" localSheetId="58">'315'!$D$96:$D$97</definedName>
    <definedName name="OSRRefD22_3x_0" localSheetId="61">'316'!$D$46</definedName>
    <definedName name="OSRRefD22_3x_0" localSheetId="63">'317'!$D$70</definedName>
    <definedName name="OSRRefD22_3x_0" localSheetId="67">'321'!$D$38</definedName>
    <definedName name="OSRRefD22_3x_0" localSheetId="68">'322'!$D$31</definedName>
    <definedName name="OSRRefD22_3x_0" localSheetId="69">'325'!$D$38</definedName>
    <definedName name="OSRRefD22_3x_0" localSheetId="59">'326'!$D$62</definedName>
    <definedName name="OSRRefD22_3x_0" localSheetId="52">'330'!$D$55</definedName>
    <definedName name="OSRRefD22_3x_0" localSheetId="57">'331'!$D$96</definedName>
    <definedName name="OSRRefD22_3x_0" localSheetId="60">'332'!$D$48</definedName>
    <definedName name="OSRRefD22_3x_0" localSheetId="74">'405'!$D$40</definedName>
    <definedName name="OSRRefD22_3x_0" localSheetId="75">'406'!$D$26</definedName>
    <definedName name="OSRRefD22_3x_0" localSheetId="76">'411'!$D$37:$D$38</definedName>
    <definedName name="OSRRefD22_3x_0" localSheetId="77">'412'!$D$26</definedName>
    <definedName name="OSRRefD22_3x_0" localSheetId="78">'413'!$D$30</definedName>
    <definedName name="OSRRefD22_3x_0" localSheetId="79">'414'!$D$27</definedName>
    <definedName name="OSRRefD22_3x_0" localSheetId="80">'415'!$D$40</definedName>
    <definedName name="OSRRefD22_3x_0" localSheetId="81">'418'!$D$37</definedName>
    <definedName name="OSRRefD22_3x_0" localSheetId="82">'423'!$D$27</definedName>
    <definedName name="OSRRefD22_3x_0" localSheetId="83">'424'!$D$26</definedName>
    <definedName name="OSRRefD22_3x_0" localSheetId="84">'425'!$D$31</definedName>
    <definedName name="OSRRefD22_3x_0" localSheetId="87">'430'!$D$33</definedName>
    <definedName name="OSRRefD22_3x_0" localSheetId="88">'433'!$D$42</definedName>
    <definedName name="OSRRefD22_3x_0" localSheetId="90">'444'!$D$43</definedName>
    <definedName name="OSRRefD22_3x_0" localSheetId="91">'450'!$D$43</definedName>
    <definedName name="OSRRefD22_3x_0" localSheetId="73">'491'!$D$42</definedName>
    <definedName name="OSRRefD22_3x_0" localSheetId="86">'492'!$D$44</definedName>
    <definedName name="OSRRefD22_3x_0" localSheetId="93">'501'!$D$39</definedName>
    <definedName name="OSRRefD22_3x_0" localSheetId="39">'Div 2'!$D$40</definedName>
    <definedName name="OSRRefD22_3x_0" localSheetId="47">'Div 3'!$D$142</definedName>
    <definedName name="OSRRefD22_3x_0" localSheetId="71">'Div 4'!$D$46</definedName>
    <definedName name="OSRRefD22_3x_0" localSheetId="92">'Div 5'!$D$39</definedName>
    <definedName name="OSRRefD22_3x_0" localSheetId="62">'Div 6'!$D$70</definedName>
    <definedName name="OSRRefD22_3x_0" localSheetId="2">Summary!$D$167</definedName>
    <definedName name="OSRRefD22_4x_0" localSheetId="41">'201'!$D$36</definedName>
    <definedName name="OSRRefD22_4x_0" localSheetId="42">'202'!$D$37:$D$38</definedName>
    <definedName name="OSRRefD22_4x_0" localSheetId="43">'203'!$D$39</definedName>
    <definedName name="OSRRefD22_4x_0" localSheetId="44">'204'!$D$38:$D$40</definedName>
    <definedName name="OSRRefD22_4x_0" localSheetId="45">'205'!$D$36:$D$37</definedName>
    <definedName name="OSRRefD22_4x_0" localSheetId="46">'206'!$D$36</definedName>
    <definedName name="OSRRefD22_4x_0" localSheetId="48">'300'!$D$139</definedName>
    <definedName name="OSRRefD22_4x_0" localSheetId="49">'300 &amp; 317'!$D$161</definedName>
    <definedName name="OSRRefD22_4x_0" localSheetId="50">'301'!$D$43</definedName>
    <definedName name="OSRRefD22_4x_0" localSheetId="51">'306'!$D$32</definedName>
    <definedName name="OSRRefD22_4x_0" localSheetId="53">'307'!$D$53:$D$54</definedName>
    <definedName name="OSRRefD22_4x_0" localSheetId="54">'308'!$D$78</definedName>
    <definedName name="OSRRefD22_4x_0" localSheetId="64">'310'!$D$48</definedName>
    <definedName name="OSRRefD22_4x_0" localSheetId="72">'310 &amp; 491'!$D$53</definedName>
    <definedName name="OSRRefD22_4x_0" localSheetId="55">'311'!$D$78</definedName>
    <definedName name="OSRRefD22_4x_0" localSheetId="66">'313'!$D$40</definedName>
    <definedName name="OSRRefD22_4x_0" localSheetId="58">'315'!$D$99</definedName>
    <definedName name="OSRRefD22_4x_0" localSheetId="61">'316'!$D$48</definedName>
    <definedName name="OSRRefD22_4x_0" localSheetId="63">'317'!$D$72</definedName>
    <definedName name="OSRRefD22_4x_0" localSheetId="67">'321'!$D$40</definedName>
    <definedName name="OSRRefD22_4x_0" localSheetId="68">'322'!$D$33:$D$34</definedName>
    <definedName name="OSRRefD22_4x_0" localSheetId="69">'325'!$D$40</definedName>
    <definedName name="OSRRefD22_4x_0" localSheetId="59">'326'!$D$64</definedName>
    <definedName name="OSRRefD22_4x_0" localSheetId="52">'330'!$D$57:$D$58</definedName>
    <definedName name="OSRRefD22_4x_0" localSheetId="57">'331'!$D$98</definedName>
    <definedName name="OSRRefD22_4x_0" localSheetId="60">'332'!$D$50</definedName>
    <definedName name="OSRRefD22_4x_0" localSheetId="74">'405'!$D$42</definedName>
    <definedName name="OSRRefD22_4x_0" localSheetId="75">'406'!$D$28</definedName>
    <definedName name="OSRRefD22_4x_0" localSheetId="76">'411'!$D$40</definedName>
    <definedName name="OSRRefD22_4x_0" localSheetId="77">'412'!$D$28</definedName>
    <definedName name="OSRRefD22_4x_0" localSheetId="78">'413'!$D$32</definedName>
    <definedName name="OSRRefD22_4x_0" localSheetId="79">'414'!$D$29:$D$30</definedName>
    <definedName name="OSRRefD22_4x_0" localSheetId="80">'415'!$D$42</definedName>
    <definedName name="OSRRefD22_4x_0" localSheetId="81">'418'!$D$39:$D$40</definedName>
    <definedName name="OSRRefD22_4x_0" localSheetId="84">'425'!$D$33</definedName>
    <definedName name="OSRRefD22_4x_0" localSheetId="87">'430'!$D$35:$D$36</definedName>
    <definedName name="OSRRefD22_4x_0" localSheetId="88">'433'!$D$44</definedName>
    <definedName name="OSRRefD22_4x_0" localSheetId="90">'444'!$D$45</definedName>
    <definedName name="OSRRefD22_4x_0" localSheetId="91">'450'!$D$45</definedName>
    <definedName name="OSRRefD22_4x_0" localSheetId="73">'491'!$D$44</definedName>
    <definedName name="OSRRefD22_4x_0" localSheetId="86">'492'!$D$46</definedName>
    <definedName name="OSRRefD22_4x_0" localSheetId="93">'501'!$D$41:$D$42</definedName>
    <definedName name="OSRRefD22_4x_0" localSheetId="39">'Div 2'!$D$42</definedName>
    <definedName name="OSRRefD22_4x_0" localSheetId="47">'Div 3'!$D$144</definedName>
    <definedName name="OSRRefD22_4x_0" localSheetId="71">'Div 4'!$D$48</definedName>
    <definedName name="OSRRefD22_4x_0" localSheetId="92">'Div 5'!$D$41:$D$42</definedName>
    <definedName name="OSRRefD22_4x_0" localSheetId="62">'Div 6'!$D$72</definedName>
    <definedName name="OSRRefD22_4x_0" localSheetId="2">Summary!$D$169</definedName>
    <definedName name="OSRRefD22_5x_0" localSheetId="41">'201'!$D$38</definedName>
    <definedName name="OSRRefD22_5x_0" localSheetId="42">'202'!$D$40</definedName>
    <definedName name="OSRRefD22_5x_0" localSheetId="43">'203'!$D$41</definedName>
    <definedName name="OSRRefD22_5x_0" localSheetId="44">'204'!$D$42</definedName>
    <definedName name="OSRRefD22_5x_0" localSheetId="45">'205'!$D$39</definedName>
    <definedName name="OSRRefD22_5x_0" localSheetId="46">'206'!$D$38</definedName>
    <definedName name="OSRRefD22_5x_0" localSheetId="48">'300'!$D$141:$D$142</definedName>
    <definedName name="OSRRefD22_5x_0" localSheetId="49">'300 &amp; 317'!$D$163:$D$164</definedName>
    <definedName name="OSRRefD22_5x_0" localSheetId="50">'301'!$D$45:$D$46</definedName>
    <definedName name="OSRRefD22_5x_0" localSheetId="51">'306'!$D$34</definedName>
    <definedName name="OSRRefD22_5x_0" localSheetId="53">'307'!$D$56</definedName>
    <definedName name="OSRRefD22_5x_0" localSheetId="54">'308'!$D$80</definedName>
    <definedName name="OSRRefD22_5x_0" localSheetId="64">'310'!$D$50:$D$51</definedName>
    <definedName name="OSRRefD22_5x_0" localSheetId="72">'310 &amp; 491'!$D$55:$D$56</definedName>
    <definedName name="OSRRefD22_5x_0" localSheetId="55">'311'!$D$80</definedName>
    <definedName name="OSRRefD22_5x_0" localSheetId="66">'313'!$D$42</definedName>
    <definedName name="OSRRefD22_5x_0" localSheetId="58">'315'!$D$101:$D$102</definedName>
    <definedName name="OSRRefD22_5x_0" localSheetId="61">'316'!$D$50:$D$51</definedName>
    <definedName name="OSRRefD22_5x_0" localSheetId="63">'317'!$D$74:$D$75</definedName>
    <definedName name="OSRRefD22_5x_0" localSheetId="67">'321'!$D$42</definedName>
    <definedName name="OSRRefD22_5x_0" localSheetId="68">'322'!$D$36</definedName>
    <definedName name="OSRRefD22_5x_0" localSheetId="69">'325'!$D$42:$D$43</definedName>
    <definedName name="OSRRefD22_5x_0" localSheetId="59">'326'!$D$66</definedName>
    <definedName name="OSRRefD22_5x_0" localSheetId="52">'330'!$D$60:$D$61</definedName>
    <definedName name="OSRRefD22_5x_0" localSheetId="57">'331'!$D$100:$D$101</definedName>
    <definedName name="OSRRefD22_5x_0" localSheetId="60">'332'!$D$52:$D$53</definedName>
    <definedName name="OSRRefD22_5x_0" localSheetId="74">'405'!$D$44:$D$45</definedName>
    <definedName name="OSRRefD22_5x_0" localSheetId="76">'411'!$D$42</definedName>
    <definedName name="OSRRefD22_5x_0" localSheetId="78">'413'!$D$34</definedName>
    <definedName name="OSRRefD22_5x_0" localSheetId="80">'415'!$D$44:$D$45</definedName>
    <definedName name="OSRRefD22_5x_0" localSheetId="81">'418'!$D$42</definedName>
    <definedName name="OSRRefD22_5x_0" localSheetId="87">'430'!$D$38</definedName>
    <definedName name="OSRRefD22_5x_0" localSheetId="88">'433'!$D$46</definedName>
    <definedName name="OSRRefD22_5x_0" localSheetId="90">'444'!$D$47</definedName>
    <definedName name="OSRRefD22_5x_0" localSheetId="91">'450'!$D$47</definedName>
    <definedName name="OSRRefD22_5x_0" localSheetId="73">'491'!$D$46:$D$47</definedName>
    <definedName name="OSRRefD22_5x_0" localSheetId="86">'492'!$D$48</definedName>
    <definedName name="OSRRefD22_5x_0" localSheetId="93">'501'!$D$44</definedName>
    <definedName name="OSRRefD22_5x_0" localSheetId="39">'Div 2'!$D$44</definedName>
    <definedName name="OSRRefD22_5x_0" localSheetId="47">'Div 3'!$D$146:$D$147</definedName>
    <definedName name="OSRRefD22_5x_0" localSheetId="71">'Div 4'!$D$50:$D$51</definedName>
    <definedName name="OSRRefD22_5x_0" localSheetId="92">'Div 5'!$D$44</definedName>
    <definedName name="OSRRefD22_5x_0" localSheetId="62">'Div 6'!$D$74:$D$75</definedName>
    <definedName name="OSRRefD22_5x_0" localSheetId="2">Summary!$D$171:$D$172</definedName>
    <definedName name="OSRRefD22_6x_0" localSheetId="41">'201'!$D$40</definedName>
    <definedName name="OSRRefD22_6x_0" localSheetId="42">'202'!$D$42:$D$44</definedName>
    <definedName name="OSRRefD22_6x_0" localSheetId="43">'203'!$D$43:$D$44</definedName>
    <definedName name="OSRRefD22_6x_0" localSheetId="44">'204'!$D$44:$D$45</definedName>
    <definedName name="OSRRefD22_6x_0" localSheetId="46">'206'!$D$40</definedName>
    <definedName name="OSRRefD22_6x_0" localSheetId="48">'300'!$D$144:$D$145</definedName>
    <definedName name="OSRRefD22_6x_0" localSheetId="49">'300 &amp; 317'!$D$166:$D$167</definedName>
    <definedName name="OSRRefD22_6x_0" localSheetId="50">'301'!$D$48</definedName>
    <definedName name="OSRRefD22_6x_0" localSheetId="53">'307'!$D$58</definedName>
    <definedName name="OSRRefD22_6x_0" localSheetId="54">'308'!$D$82</definedName>
    <definedName name="OSRRefD22_6x_0" localSheetId="64">'310'!$D$53</definedName>
    <definedName name="OSRRefD22_6x_0" localSheetId="72">'310 &amp; 491'!$D$58</definedName>
    <definedName name="OSRRefD22_6x_0" localSheetId="55">'311'!$D$82</definedName>
    <definedName name="OSRRefD22_6x_0" localSheetId="66">'313'!$D$44</definedName>
    <definedName name="OSRRefD22_6x_0" localSheetId="58">'315'!$D$104:$D$105</definedName>
    <definedName name="OSRRefD22_6x_0" localSheetId="61">'316'!$D$53</definedName>
    <definedName name="OSRRefD22_6x_0" localSheetId="63">'317'!$D$77</definedName>
    <definedName name="OSRRefD22_6x_0" localSheetId="67">'321'!$D$44:$D$45</definedName>
    <definedName name="OSRRefD22_6x_0" localSheetId="68">'322'!$D$38</definedName>
    <definedName name="OSRRefD22_6x_0" localSheetId="69">'325'!$D$45</definedName>
    <definedName name="OSRRefD22_6x_0" localSheetId="59">'326'!$D$68</definedName>
    <definedName name="OSRRefD22_6x_0" localSheetId="52">'330'!$D$63</definedName>
    <definedName name="OSRRefD22_6x_0" localSheetId="57">'331'!$D$103</definedName>
    <definedName name="OSRRefD22_6x_0" localSheetId="60">'332'!$D$55</definedName>
    <definedName name="OSRRefD22_6x_0" localSheetId="74">'405'!$D$47</definedName>
    <definedName name="OSRRefD22_6x_0" localSheetId="76">'411'!$D$44</definedName>
    <definedName name="OSRRefD22_6x_0" localSheetId="80">'415'!$D$47</definedName>
    <definedName name="OSRRefD22_6x_0" localSheetId="81">'418'!$D$44</definedName>
    <definedName name="OSRRefD22_6x_0" localSheetId="87">'430'!$D$40</definedName>
    <definedName name="OSRRefD22_6x_0" localSheetId="88">'433'!$D$48</definedName>
    <definedName name="OSRRefD22_6x_0" localSheetId="90">'444'!$D$49</definedName>
    <definedName name="OSRRefD22_6x_0" localSheetId="91">'450'!$D$49</definedName>
    <definedName name="OSRRefD22_6x_0" localSheetId="73">'491'!$D$49</definedName>
    <definedName name="OSRRefD22_6x_0" localSheetId="86">'492'!$D$50</definedName>
    <definedName name="OSRRefD22_6x_0" localSheetId="93">'501'!$D$46</definedName>
    <definedName name="OSRRefD22_6x_0" localSheetId="39">'Div 2'!$D$46</definedName>
    <definedName name="OSRRefD22_6x_0" localSheetId="47">'Div 3'!$D$149:$D$150</definedName>
    <definedName name="OSRRefD22_6x_0" localSheetId="71">'Div 4'!$D$53</definedName>
    <definedName name="OSRRefD22_6x_0" localSheetId="92">'Div 5'!$D$46</definedName>
    <definedName name="OSRRefD22_6x_0" localSheetId="62">'Div 6'!$D$77</definedName>
    <definedName name="OSRRefD22_6x_0" localSheetId="2">Summary!$D$174:$D$175</definedName>
    <definedName name="OSRRefD22_7x_0" localSheetId="41">'201'!$D$42:$D$43</definedName>
    <definedName name="OSRRefD22_7x_0" localSheetId="42">'202'!$D$46</definedName>
    <definedName name="OSRRefD22_7x_0" localSheetId="43">'203'!$D$46:$D$47</definedName>
    <definedName name="OSRRefD22_7x_0" localSheetId="48">'300'!$D$147</definedName>
    <definedName name="OSRRefD22_7x_0" localSheetId="49">'300 &amp; 317'!$D$169</definedName>
    <definedName name="OSRRefD22_7x_0" localSheetId="50">'301'!$D$50</definedName>
    <definedName name="OSRRefD22_7x_0" localSheetId="53">'307'!$D$60</definedName>
    <definedName name="OSRRefD22_7x_0" localSheetId="54">'308'!$D$84</definedName>
    <definedName name="OSRRefD22_7x_0" localSheetId="64">'310'!$D$55</definedName>
    <definedName name="OSRRefD22_7x_0" localSheetId="72">'310 &amp; 491'!$D$60</definedName>
    <definedName name="OSRRefD22_7x_0" localSheetId="55">'311'!$D$84</definedName>
    <definedName name="OSRRefD22_7x_0" localSheetId="58">'315'!$D$107:$D$108</definedName>
    <definedName name="OSRRefD22_7x_0" localSheetId="61">'316'!$D$55:$D$56</definedName>
    <definedName name="OSRRefD22_7x_0" localSheetId="63">'317'!$D$79</definedName>
    <definedName name="OSRRefD22_7x_0" localSheetId="67">'321'!$D$47:$D$48</definedName>
    <definedName name="OSRRefD22_7x_0" localSheetId="69">'325'!$D$47</definedName>
    <definedName name="OSRRefD22_7x_0" localSheetId="59">'326'!$D$70</definedName>
    <definedName name="OSRRefD22_7x_0" localSheetId="52">'330'!$D$65</definedName>
    <definedName name="OSRRefD22_7x_0" localSheetId="57">'331'!$D$105:$D$106</definedName>
    <definedName name="OSRRefD22_7x_0" localSheetId="60">'332'!$D$57:$D$58</definedName>
    <definedName name="OSRRefD22_7x_0" localSheetId="74">'405'!$D$49</definedName>
    <definedName name="OSRRefD22_7x_0" localSheetId="76">'411'!$D$46</definedName>
    <definedName name="OSRRefD22_7x_0" localSheetId="80">'415'!$D$49</definedName>
    <definedName name="OSRRefD22_7x_0" localSheetId="81">'418'!$D$46:$D$47</definedName>
    <definedName name="OSRRefD22_7x_0" localSheetId="88">'433'!$D$50</definedName>
    <definedName name="OSRRefD22_7x_0" localSheetId="90">'444'!$D$51</definedName>
    <definedName name="OSRRefD22_7x_0" localSheetId="91">'450'!$D$51</definedName>
    <definedName name="OSRRefD22_7x_0" localSheetId="73">'491'!$D$51</definedName>
    <definedName name="OSRRefD22_7x_0" localSheetId="86">'492'!$D$52</definedName>
    <definedName name="OSRRefD22_7x_0" localSheetId="93">'501'!$D$48:$D$49</definedName>
    <definedName name="OSRRefD22_7x_0" localSheetId="39">'Div 2'!$D$48</definedName>
    <definedName name="OSRRefD22_7x_0" localSheetId="47">'Div 3'!$D$152</definedName>
    <definedName name="OSRRefD22_7x_0" localSheetId="71">'Div 4'!$D$55</definedName>
    <definedName name="OSRRefD22_7x_0" localSheetId="92">'Div 5'!$D$48:$D$49</definedName>
    <definedName name="OSRRefD22_7x_0" localSheetId="62">'Div 6'!$D$79</definedName>
    <definedName name="OSRRefD22_7x_0" localSheetId="2">Summary!$D$177</definedName>
    <definedName name="OSRRefD22_8x_0" localSheetId="41">'201'!$D$45:$D$46</definedName>
    <definedName name="OSRRefD22_8x_0" localSheetId="42">'202'!$D$48:$D$49</definedName>
    <definedName name="OSRRefD22_8x_0" localSheetId="43">'203'!$D$49</definedName>
    <definedName name="OSRRefD22_8x_0" localSheetId="48">'300'!$D$149</definedName>
    <definedName name="OSRRefD22_8x_0" localSheetId="49">'300 &amp; 317'!$D$171</definedName>
    <definedName name="OSRRefD22_8x_0" localSheetId="50">'301'!$D$52</definedName>
    <definedName name="OSRRefD22_8x_0" localSheetId="53">'307'!$D$62:$D$63</definedName>
    <definedName name="OSRRefD22_8x_0" localSheetId="54">'308'!$D$86</definedName>
    <definedName name="OSRRefD22_8x_0" localSheetId="64">'310'!$D$57</definedName>
    <definedName name="OSRRefD22_8x_0" localSheetId="72">'310 &amp; 491'!$D$62:$D$63</definedName>
    <definedName name="OSRRefD22_8x_0" localSheetId="55">'311'!$D$86</definedName>
    <definedName name="OSRRefD22_8x_0" localSheetId="58">'315'!$D$110:$D$111</definedName>
    <definedName name="OSRRefD22_8x_0" localSheetId="61">'316'!$D$58</definedName>
    <definedName name="OSRRefD22_8x_0" localSheetId="63">'317'!$D$81:$D$83</definedName>
    <definedName name="OSRRefD22_8x_0" localSheetId="67">'321'!$D$50:$D$53</definedName>
    <definedName name="OSRRefD22_8x_0" localSheetId="69">'325'!$D$49</definedName>
    <definedName name="OSRRefD22_8x_0" localSheetId="59">'326'!$D$72</definedName>
    <definedName name="OSRRefD22_8x_0" localSheetId="52">'330'!$D$67:$D$68</definedName>
    <definedName name="OSRRefD22_8x_0" localSheetId="57">'331'!$D$108</definedName>
    <definedName name="OSRRefD22_8x_0" localSheetId="60">'332'!$D$60</definedName>
    <definedName name="OSRRefD22_8x_0" localSheetId="74">'405'!$D$51</definedName>
    <definedName name="OSRRefD22_8x_0" localSheetId="76">'411'!$D$48</definedName>
    <definedName name="OSRRefD22_8x_0" localSheetId="80">'415'!$D$51</definedName>
    <definedName name="OSRRefD22_8x_0" localSheetId="81">'418'!$D$49</definedName>
    <definedName name="OSRRefD22_8x_0" localSheetId="88">'433'!$D$52</definedName>
    <definedName name="OSRRefD22_8x_0" localSheetId="90">'444'!$D$53</definedName>
    <definedName name="OSRRefD22_8x_0" localSheetId="91">'450'!$D$53</definedName>
    <definedName name="OSRRefD22_8x_0" localSheetId="73">'491'!$D$53</definedName>
    <definedName name="OSRRefD22_8x_0" localSheetId="86">'492'!$D$54</definedName>
    <definedName name="OSRRefD22_8x_0" localSheetId="93">'501'!$D$51</definedName>
    <definedName name="OSRRefD22_8x_0" localSheetId="39">'Div 2'!$D$50:$D$51</definedName>
    <definedName name="OSRRefD22_8x_0" localSheetId="47">'Div 3'!$D$154</definedName>
    <definedName name="OSRRefD22_8x_0" localSheetId="71">'Div 4'!$D$57</definedName>
    <definedName name="OSRRefD22_8x_0" localSheetId="92">'Div 5'!$D$51</definedName>
    <definedName name="OSRRefD22_8x_0" localSheetId="62">'Div 6'!$D$81:$D$83</definedName>
    <definedName name="OSRRefD22_8x_0" localSheetId="2">Summary!$D$179</definedName>
    <definedName name="OSRRefD22_9x_0" localSheetId="41">'201'!$D$48</definedName>
    <definedName name="OSRRefD22_9x_0" localSheetId="42">'202'!$D$51</definedName>
    <definedName name="OSRRefD22_9x_0" localSheetId="43">'203'!$D$51:$D$54</definedName>
    <definedName name="OSRRefD22_9x_0" localSheetId="48">'300'!$D$151:$D$152</definedName>
    <definedName name="OSRRefD22_9x_0" localSheetId="49">'300 &amp; 317'!$D$173:$D$174</definedName>
    <definedName name="OSRRefD22_9x_0" localSheetId="50">'301'!$D$54</definedName>
    <definedName name="OSRRefD22_9x_0" localSheetId="53">'307'!$D$65:$D$66</definedName>
    <definedName name="OSRRefD22_9x_0" localSheetId="54">'308'!$D$88:$D$90</definedName>
    <definedName name="OSRRefD22_9x_0" localSheetId="64">'310'!$D$59</definedName>
    <definedName name="OSRRefD22_9x_0" localSheetId="72">'310 &amp; 491'!$D$65</definedName>
    <definedName name="OSRRefD22_9x_0" localSheetId="55">'311'!$D$88:$D$90</definedName>
    <definedName name="OSRRefD22_9x_0" localSheetId="58">'315'!$D$113</definedName>
    <definedName name="OSRRefD22_9x_0" localSheetId="61">'316'!$D$60:$D$64</definedName>
    <definedName name="OSRRefD22_9x_0" localSheetId="63">'317'!$D$85</definedName>
    <definedName name="OSRRefD22_9x_0" localSheetId="67">'321'!$D$55</definedName>
    <definedName name="OSRRefD22_9x_0" localSheetId="69">'325'!$D$51:$D$52</definedName>
    <definedName name="OSRRefD22_9x_0" localSheetId="59">'326'!$D$74:$D$75</definedName>
    <definedName name="OSRRefD22_9x_0" localSheetId="52">'330'!$D$70:$D$71</definedName>
    <definedName name="OSRRefD22_9x_0" localSheetId="57">'331'!$D$110:$D$111</definedName>
    <definedName name="OSRRefD22_9x_0" localSheetId="60">'332'!$D$62:$D$66</definedName>
    <definedName name="OSRRefD22_9x_0" localSheetId="74">'405'!$D$53:$D$54</definedName>
    <definedName name="OSRRefD22_9x_0" localSheetId="76">'411'!$D$50:$D$52</definedName>
    <definedName name="OSRRefD22_9x_0" localSheetId="80">'415'!$D$53</definedName>
    <definedName name="OSRRefD22_9x_0" localSheetId="81">'418'!$D$51</definedName>
    <definedName name="OSRRefD22_9x_0" localSheetId="88">'433'!$D$54</definedName>
    <definedName name="OSRRefD22_9x_0" localSheetId="90">'444'!$D$55</definedName>
    <definedName name="OSRRefD22_9x_0" localSheetId="91">'450'!$D$55</definedName>
    <definedName name="OSRRefD22_9x_0" localSheetId="73">'491'!$D$55</definedName>
    <definedName name="OSRRefD22_9x_0" localSheetId="86">'492'!$D$56</definedName>
    <definedName name="OSRRefD22_9x_0" localSheetId="93">'501'!$D$53</definedName>
    <definedName name="OSRRefD22_9x_0" localSheetId="39">'Div 2'!$D$53</definedName>
    <definedName name="OSRRefD22_9x_0" localSheetId="47">'Div 3'!$D$156:$D$157</definedName>
    <definedName name="OSRRefD22_9x_0" localSheetId="71">'Div 4'!$D$59</definedName>
    <definedName name="OSRRefD22_9x_0" localSheetId="92">'Div 5'!$D$53</definedName>
    <definedName name="OSRRefD22_9x_0" localSheetId="62">'Div 6'!$D$85</definedName>
    <definedName name="OSRRefD22_9x_0" localSheetId="2">Summary!$D$181</definedName>
    <definedName name="OSRRefD22x_0" localSheetId="40">'200'!$D$20,'200'!$D$22,'200'!$D$24,'200'!$D$26</definedName>
    <definedName name="OSRRefD22x_0" localSheetId="41">'201'!$D$20:$D$27,'201'!$D$29:$D$30,'201'!$D$32,'201'!$D$34,'201'!$D$36,'201'!$D$38,'201'!$D$40,'201'!$D$42:$D$43,'201'!$D$45:$D$46,'201'!$D$48,'201'!$D$50:$D$51,'201'!$D$53</definedName>
    <definedName name="OSRRefD22x_0" localSheetId="42">'202'!$D$20:$D$27,'202'!$D$29:$D$31,'202'!$D$33,'202'!$D$35,'202'!$D$37:$D$38,'202'!$D$40,'202'!$D$42:$D$44,'202'!$D$46,'202'!$D$48:$D$49,'202'!$D$51,'202'!$D$53,'202'!$D$55</definedName>
    <definedName name="OSRRefD22x_0" localSheetId="43">'203'!$D$20:$D$28,'203'!$D$30:$D$33,'203'!$D$35,'203'!$D$37,'203'!$D$39,'203'!$D$41,'203'!$D$43:$D$44,'203'!$D$46:$D$47,'203'!$D$49,'203'!$D$51:$D$54,'203'!$D$56,'203'!$D$58</definedName>
    <definedName name="OSRRefD22x_0" localSheetId="44">'204'!$D$20:$D$28,'204'!$D$30:$D$32,'204'!$D$34,'204'!$D$36,'204'!$D$38:$D$40,'204'!$D$42,'204'!$D$44:$D$45</definedName>
    <definedName name="OSRRefD22x_0" localSheetId="45">'205'!$D$20:$D$27,'205'!$D$29,'205'!$D$31,'205'!$D$33:$D$34,'205'!$D$36:$D$37,'205'!$D$39</definedName>
    <definedName name="OSRRefD22x_0" localSheetId="46">'206'!$D$20:$D$26,'206'!$D$28:$D$30,'206'!$D$32,'206'!$D$34,'206'!$D$36,'206'!$D$38,'206'!$D$40</definedName>
    <definedName name="OSRRefD22x_0" localSheetId="48">'300'!$D$116:$D$125,'300'!$D$127:$D$133,'300'!$D$135,'300'!$D$137,'300'!$D$139,'300'!$D$141:$D$142,'300'!$D$144:$D$145,'300'!$D$147,'300'!$D$149,'300'!$D$151:$D$152,'300'!$D$154,'300'!$D$156,'300'!$D$158:$D$159,'300'!$D$161,'300'!$D$163:$D$166,'300'!$D$168:$D$170,'300'!$D$172:$D$175,'300'!$D$177:$D$178,'300'!$D$180:$D$185,'300'!$D$187:$D$188,'300'!$D$190,'300'!$D$192:$D$194,'300'!$D$196</definedName>
    <definedName name="OSRRefD22x_0" localSheetId="49">'300 &amp; 317'!$D$138:$D$147,'300 &amp; 317'!$D$149:$D$155,'300 &amp; 317'!$D$157,'300 &amp; 317'!$D$159,'300 &amp; 317'!$D$161,'300 &amp; 317'!$D$163:$D$164,'300 &amp; 317'!$D$166:$D$167,'300 &amp; 317'!$D$169,'300 &amp; 317'!$D$171,'300 &amp; 317'!$D$173:$D$174,'300 &amp; 317'!$D$176,'300 &amp; 317'!$D$178,'300 &amp; 317'!$D$180:$D$181,'300 &amp; 317'!$D$183,'300 &amp; 317'!$D$185:$D$188,'300 &amp; 317'!$D$190:$D$192,'300 &amp; 317'!$D$194:$D$197,'300 &amp; 317'!$D$199:$D$200,'300 &amp; 317'!$D$202:$D$207,'300 &amp; 317'!$D$209:$D$210,'300 &amp; 317'!$D$212,'300 &amp; 317'!$D$214:$D$216,'300 &amp; 317'!$D$218</definedName>
    <definedName name="OSRRefD22x_0" localSheetId="50">'301'!$D$20:$D$29,'301'!$D$31:$D$37,'301'!$D$39,'301'!$D$41,'301'!$D$43,'301'!$D$45:$D$46,'301'!$D$48,'301'!$D$50,'301'!$D$52,'301'!$D$54,'301'!$D$56,'301'!$D$58,'301'!$D$60,'301'!$D$62:$D$65,'301'!$D$67:$D$69,'301'!$D$71,'301'!$D$73:$D$77,'301'!$D$79,'301'!$D$81,'301'!$D$83:$D$84,'301'!$D$86</definedName>
    <definedName name="OSRRefD22x_0" localSheetId="51">'306'!$D$20:$D$23,'306'!$D$25:$D$26,'306'!$D$28,'306'!$D$30,'306'!$D$32,'306'!$D$34</definedName>
    <definedName name="OSRRefD22x_0" localSheetId="53">'307'!$D$42:$D$44,'307'!$D$46:$D$47,'307'!$D$49,'307'!$D$51,'307'!$D$53:$D$54,'307'!$D$56,'307'!$D$58,'307'!$D$60,'307'!$D$62:$D$63,'307'!$D$65:$D$66,'307'!$D$68:$D$70,'307'!$D$72</definedName>
    <definedName name="OSRRefD22x_0" localSheetId="54">'308'!$D$56:$D$64,'308'!$D$66:$D$72,'308'!$D$74,'308'!$D$76,'308'!$D$78,'308'!$D$80,'308'!$D$82,'308'!$D$84,'308'!$D$86,'308'!$D$88:$D$90,'308'!$D$92,'308'!$D$94:$D$95,'308'!$D$97:$D$98,'308'!$D$100</definedName>
    <definedName name="OSRRefD22x_0" localSheetId="65">'309'!$D$20,'309'!$D$22:$D$23,'309'!$D$25:$D$26,'309'!$D$28</definedName>
    <definedName name="OSRRefD22x_0" localSheetId="64">'310'!$D$31:$D$38,'310'!$D$40:$D$42,'310'!$D$44,'310'!$D$46,'310'!$D$48,'310'!$D$50:$D$51,'310'!$D$53,'310'!$D$55,'310'!$D$57,'310'!$D$59,'310'!$D$61:$D$62,'310'!$D$64:$D$66,'310'!$D$68:$D$72,'310'!$D$74,'310'!$D$76</definedName>
    <definedName name="OSRRefD22x_0" localSheetId="72">'310 &amp; 491'!$D$34:$D$41,'310 &amp; 491'!$D$43:$D$47,'310 &amp; 491'!$D$49,'310 &amp; 491'!$D$51,'310 &amp; 491'!$D$53,'310 &amp; 491'!$D$55:$D$56,'310 &amp; 491'!$D$58,'310 &amp; 491'!$D$60,'310 &amp; 491'!$D$62:$D$63,'310 &amp; 491'!$D$65,'310 &amp; 491'!$D$67,'310 &amp; 491'!$D$69,'310 &amp; 491'!$D$71,'310 &amp; 491'!$D$73:$D$75,'310 &amp; 491'!$D$77:$D$80,'310 &amp; 491'!$D$82,'310 &amp; 491'!$D$84:$D$90,'310 &amp; 491'!$D$92,'310 &amp; 491'!$D$94,'310 &amp; 491'!$D$96</definedName>
    <definedName name="OSRRefD22x_0" localSheetId="55">'311'!$D$56:$D$64,'311'!$D$66:$D$72,'311'!$D$74,'311'!$D$76,'311'!$D$78,'311'!$D$80,'311'!$D$82,'311'!$D$84,'311'!$D$86,'311'!$D$88:$D$90,'311'!$D$92,'311'!$D$94:$D$95,'311'!$D$97:$D$98,'311'!$D$100</definedName>
    <definedName name="OSRRefD22x_0" localSheetId="66">'313'!$D$25:$D$32,'313'!$D$34,'313'!$D$36,'313'!$D$38,'313'!$D$40,'313'!$D$42,'313'!$D$44</definedName>
    <definedName name="OSRRefD22x_0" localSheetId="58">'315'!$D$79:$D$86,'315'!$D$88:$D$92,'315'!$D$94,'315'!$D$96:$D$97,'315'!$D$99,'315'!$D$101:$D$102,'315'!$D$104:$D$105,'315'!$D$107:$D$108,'315'!$D$110:$D$111,'315'!$D$113,'315'!$D$115:$D$117,'315'!$D$119,'315'!$D$121</definedName>
    <definedName name="OSRRefD22x_0" localSheetId="61">'316'!$D$31:$D$38,'316'!$D$40:$D$42,'316'!$D$44,'316'!$D$46,'316'!$D$48,'316'!$D$50:$D$51,'316'!$D$53,'316'!$D$55:$D$56,'316'!$D$58,'316'!$D$60:$D$64,'316'!$D$66,'316'!$D$68</definedName>
    <definedName name="OSRRefD22x_0" localSheetId="63">'317'!$D$52:$D$60,'317'!$D$62:$D$66,'317'!$D$68,'317'!$D$70,'317'!$D$72,'317'!$D$74:$D$75,'317'!$D$77,'317'!$D$79,'317'!$D$81:$D$83,'317'!$D$85</definedName>
    <definedName name="OSRRefD22x_0" localSheetId="67">'321'!$D$23:$D$30,'321'!$D$32:$D$34,'321'!$D$36,'321'!$D$38,'321'!$D$40,'321'!$D$42,'321'!$D$44:$D$45,'321'!$D$47:$D$48,'321'!$D$50:$D$53,'321'!$D$55,'321'!$D$57</definedName>
    <definedName name="OSRRefD22x_0" localSheetId="68">'322'!$D$21:$D$25,'322'!$D$27,'322'!$D$29,'322'!$D$31,'322'!$D$33:$D$34,'322'!$D$36,'322'!$D$38</definedName>
    <definedName name="OSRRefD22x_0" localSheetId="69">'325'!$D$24:$D$30,'325'!$D$32:$D$34,'325'!$D$36,'325'!$D$38,'325'!$D$40,'325'!$D$42:$D$43,'325'!$D$45,'325'!$D$47,'325'!$D$49,'325'!$D$51:$D$52,'325'!$D$54:$D$56,'325'!$D$58:$D$61,'325'!$D$63,'325'!$D$65</definedName>
    <definedName name="OSRRefD22x_0" localSheetId="59">'326'!$D$45:$D$52,'326'!$D$54:$D$58,'326'!$D$60,'326'!$D$62,'326'!$D$64,'326'!$D$66,'326'!$D$68,'326'!$D$70,'326'!$D$72,'326'!$D$74:$D$75,'326'!$D$77:$D$78,'326'!$D$80,'326'!$D$82:$D$85,'326'!$D$87,'326'!$D$89,'326'!$D$91</definedName>
    <definedName name="OSRRefD22x_0" localSheetId="70">'327'!$D$24</definedName>
    <definedName name="OSRRefD22x_0" localSheetId="52">'330'!$D$45:$D$48,'330'!$D$50:$D$51,'330'!$D$53,'330'!$D$55,'330'!$D$57:$D$58,'330'!$D$60:$D$61,'330'!$D$63,'330'!$D$65,'330'!$D$67:$D$68,'330'!$D$70:$D$71,'330'!$D$73:$D$75,'330'!$D$77</definedName>
    <definedName name="OSRRefD22x_0" localSheetId="57">'331'!$D$79:$D$86,'331'!$D$88:$D$92,'331'!$D$94,'331'!$D$96,'331'!$D$98,'331'!$D$100:$D$101,'331'!$D$103,'331'!$D$105:$D$106,'331'!$D$108,'331'!$D$110:$D$111,'331'!$D$113,'331'!$D$115:$D$116,'331'!$D$118:$D$119,'331'!$D$121:$D$122,'331'!$D$124,'331'!$D$126:$D$129,'331'!$D$131,'331'!$D$133,'331'!$D$135</definedName>
    <definedName name="OSRRefD22x_0" localSheetId="60">'332'!$D$33:$D$40,'332'!$D$42:$D$44,'332'!$D$46,'332'!$D$48,'332'!$D$50,'332'!$D$52:$D$53,'332'!$D$55,'332'!$D$57:$D$58,'332'!$D$60,'332'!$D$62:$D$66,'332'!$D$68,'332'!$D$70</definedName>
    <definedName name="OSRRefD22x_0" localSheetId="74">'405'!$D$24:$D$31,'405'!$D$33:$D$36,'405'!$D$38,'405'!$D$40,'405'!$D$42,'405'!$D$44:$D$45,'405'!$D$47,'405'!$D$49,'405'!$D$51,'405'!$D$53:$D$54,'405'!$D$56:$D$57,'405'!$D$59:$D$64,'405'!$D$66,'405'!$D$68</definedName>
    <definedName name="OSRRefD22x_0" localSheetId="75">'406'!$D$20,'406'!$D$22,'406'!$D$24,'406'!$D$26,'406'!$D$28</definedName>
    <definedName name="OSRRefD22x_0" localSheetId="76">'411'!$D$20:$D$27,'411'!$D$29:$D$33,'411'!$D$35,'411'!$D$37:$D$38,'411'!$D$40,'411'!$D$42,'411'!$D$44,'411'!$D$46,'411'!$D$48,'411'!$D$50:$D$52,'411'!$D$54:$D$55,'411'!$D$57:$D$58,'411'!$D$60,'411'!$D$62,'411'!$D$64</definedName>
    <definedName name="OSRRefD22x_0" localSheetId="77">'412'!$D$20,'412'!$D$22,'412'!$D$24,'412'!$D$26,'412'!$D$28</definedName>
    <definedName name="OSRRefD22x_0" localSheetId="78">'413'!$D$20:$D$24,'413'!$D$26,'413'!$D$28,'413'!$D$30,'413'!$D$32,'413'!$D$34</definedName>
    <definedName name="OSRRefD22x_0" localSheetId="79">'414'!$D$21,'414'!$D$23,'414'!$D$25,'414'!$D$27,'414'!$D$29:$D$30</definedName>
    <definedName name="OSRRefD22x_0" localSheetId="80">'415'!$D$24:$D$31,'415'!$D$33:$D$36,'415'!$D$38,'415'!$D$40,'415'!$D$42,'415'!$D$44:$D$45,'415'!$D$47,'415'!$D$49,'415'!$D$51,'415'!$D$53,'415'!$D$55:$D$56,'415'!$D$58:$D$61,'415'!$D$63,'415'!$D$65:$D$70,'415'!$D$72,'415'!$D$74</definedName>
    <definedName name="OSRRefD22x_0" localSheetId="81">'418'!$D$21:$D$28,'418'!$D$30:$D$33,'418'!$D$35,'418'!$D$37,'418'!$D$39:$D$40,'418'!$D$42,'418'!$D$44,'418'!$D$46:$D$47,'418'!$D$49,'418'!$D$51,'418'!$D$53:$D$55,'418'!$D$57</definedName>
    <definedName name="OSRRefD22x_0" localSheetId="82">'423'!$D$20:$D$21,'423'!$D$23,'423'!$D$25,'423'!$D$27</definedName>
    <definedName name="OSRRefD22x_0" localSheetId="83">'424'!$D$20,'424'!$D$22,'424'!$D$24,'424'!$D$26</definedName>
    <definedName name="OSRRefD22x_0" localSheetId="84">'425'!$D$21:$D$25,'425'!$D$27,'425'!$D$29,'425'!$D$31,'425'!$D$33</definedName>
    <definedName name="OSRRefD22x_0" localSheetId="87">'430'!$D$20:$D$27,'430'!$D$29,'430'!$D$31,'430'!$D$33,'430'!$D$35:$D$36,'430'!$D$38,'430'!$D$40</definedName>
    <definedName name="OSRRefD22x_0" localSheetId="88">'433'!$D$25:$D$33,'433'!$D$35:$D$38,'433'!$D$40,'433'!$D$42,'433'!$D$44,'433'!$D$46,'433'!$D$48,'433'!$D$50,'433'!$D$52,'433'!$D$54,'433'!$D$56:$D$57,'433'!$D$59:$D$61,'433'!$D$63:$D$69,'433'!$D$71</definedName>
    <definedName name="OSRRefD22x_0" localSheetId="89">'435'!$D$20</definedName>
    <definedName name="OSRRefD22x_0" localSheetId="90">'444'!$D$25:$D$33,'444'!$D$35:$D$39,'444'!$D$41,'444'!$D$43,'444'!$D$45,'444'!$D$47,'444'!$D$49,'444'!$D$51,'444'!$D$53,'444'!$D$55,'444'!$D$57:$D$58,'444'!$D$60:$D$62,'444'!$D$64:$D$70,'444'!$D$72,'444'!$D$74</definedName>
    <definedName name="OSRRefD22x_0" localSheetId="91">'450'!$D$25:$D$33,'450'!$D$35:$D$39,'450'!$D$41,'450'!$D$43,'450'!$D$45,'450'!$D$47,'450'!$D$49,'450'!$D$51,'450'!$D$53,'450'!$D$55,'450'!$D$57,'450'!$D$59,'450'!$D$61,'450'!$D$63:$D$64,'450'!$D$66:$D$70,'450'!$D$72,'450'!$D$74</definedName>
    <definedName name="OSRRefD22x_0" localSheetId="73">'491'!$D$25:$D$32,'491'!$D$34:$D$38,'491'!$D$40,'491'!$D$42,'491'!$D$44,'491'!$D$46:$D$47,'491'!$D$49,'491'!$D$51,'491'!$D$53,'491'!$D$55,'491'!$D$57,'491'!$D$59,'491'!$D$61,'491'!$D$63:$D$65,'491'!$D$67:$D$70,'491'!$D$72,'491'!$D$74:$D$80,'491'!$D$82,'491'!$D$84,'491'!$D$86</definedName>
    <definedName name="OSRRefD22x_0" localSheetId="86">'492'!$D$25:$D$33,'492'!$D$35:$D$40,'492'!$D$42,'492'!$D$44,'492'!$D$46,'492'!$D$48,'492'!$D$50,'492'!$D$52,'492'!$D$54,'492'!$D$56,'492'!$D$58,'492'!$D$60,'492'!$D$62:$D$64,'492'!$D$66:$D$68,'492'!$D$70:$D$77,'492'!$D$79,'492'!$D$81,'492'!$D$83:$D$84</definedName>
    <definedName name="OSRRefD22x_0" localSheetId="93">'501'!$D$21:$D$28,'501'!$D$30:$D$35,'501'!$D$37,'501'!$D$39,'501'!$D$41:$D$42,'501'!$D$44,'501'!$D$46,'501'!$D$48:$D$49,'501'!$D$51,'501'!$D$53</definedName>
    <definedName name="OSRRefD22x_0" localSheetId="39">'Div 2'!$D$20:$D$29,'Div 2'!$D$31:$D$36,'Div 2'!$D$38,'Div 2'!$D$40,'Div 2'!$D$42,'Div 2'!$D$44,'Div 2'!$D$46,'Div 2'!$D$48,'Div 2'!$D$50:$D$51,'Div 2'!$D$53,'Div 2'!$D$55,'Div 2'!$D$57:$D$59,'Div 2'!$D$61:$D$63,'Div 2'!$D$65,'Div 2'!$D$67,'Div 2'!$D$69:$D$73,'Div 2'!$D$75:$D$76,'Div 2'!$D$78,'Div 2'!$D$80</definedName>
    <definedName name="OSRRefD22x_0" localSheetId="47">'Div 3'!$D$121:$D$130,'Div 3'!$D$132:$D$138,'Div 3'!$D$140,'Div 3'!$D$142,'Div 3'!$D$144,'Div 3'!$D$146:$D$147,'Div 3'!$D$149:$D$150,'Div 3'!$D$152,'Div 3'!$D$154,'Div 3'!$D$156:$D$157,'Div 3'!$D$159,'Div 3'!$D$161,'Div 3'!$D$163,'Div 3'!$D$165:$D$166,'Div 3'!$D$168,'Div 3'!$D$170:$D$173,'Div 3'!$D$175:$D$177,'Div 3'!$D$179:$D$183,'Div 3'!$D$185:$D$186,'Div 3'!$D$188:$D$194,'Div 3'!$D$196:$D$197,'Div 3'!$D$199,'Div 3'!$D$201:$D$203,'Div 3'!$D$205</definedName>
    <definedName name="OSRRefD22x_0" localSheetId="71">'Div 4'!$D$27:$D$35,'Div 4'!$D$37:$D$42,'Div 4'!$D$44,'Div 4'!$D$46,'Div 4'!$D$48,'Div 4'!$D$50:$D$51,'Div 4'!$D$53,'Div 4'!$D$55,'Div 4'!$D$57,'Div 4'!$D$59,'Div 4'!$D$61,'Div 4'!$D$63,'Div 4'!$D$65,'Div 4'!$D$67,'Div 4'!$D$69,'Div 4'!$D$71:$D$73,'Div 4'!$D$75:$D$78,'Div 4'!$D$80,'Div 4'!$D$82:$D$89,'Div 4'!$D$91,'Div 4'!$D$93,'Div 4'!$D$95:$D$96,'Div 4'!$D$98</definedName>
    <definedName name="OSRRefD22x_0" localSheetId="92">'Div 5'!$D$21:$D$28,'Div 5'!$D$30:$D$35,'Div 5'!$D$37,'Div 5'!$D$39,'Div 5'!$D$41:$D$42,'Div 5'!$D$44,'Div 5'!$D$46,'Div 5'!$D$48:$D$49,'Div 5'!$D$51,'Div 5'!$D$53</definedName>
    <definedName name="OSRRefD22x_0" localSheetId="62">'Div 6'!$D$52:$D$60,'Div 6'!$D$62:$D$66,'Div 6'!$D$68,'Div 6'!$D$70,'Div 6'!$D$72,'Div 6'!$D$74:$D$75,'Div 6'!$D$77,'Div 6'!$D$79,'Div 6'!$D$81:$D$83,'Div 6'!$D$85</definedName>
    <definedName name="OSRRefD22x_0" localSheetId="2">Summary!$D$146:$D$155,Summary!$D$157:$D$163,Summary!$D$165,Summary!$D$167,Summary!$D$169,Summary!$D$171:$D$172,Summary!$D$174:$D$175,Summary!$D$177,Summary!$D$179,Summary!$D$181,Summary!$D$183:$D$184,Summary!$D$186,Summary!$D$188,Summary!$D$190,Summary!$D$192:$D$193,Summary!$D$195,Summary!$D$197,Summary!$D$199:$D$202,Summary!$D$204:$D$206,Summary!$D$208:$D$212,Summary!$D$214:$D$215,Summary!$D$217:$D$225,Summary!$D$227:$D$228,Summary!$D$230,Summary!$D$232:$D$234,Summary!$D$236</definedName>
    <definedName name="OSRRefD25x_0" localSheetId="48">'300'!$D$199:$D$202</definedName>
    <definedName name="OSRRefD25x_0" localSheetId="49">'300 &amp; 317'!$D$221:$D$226</definedName>
    <definedName name="OSRRefD25x_0" localSheetId="50">'301'!$D$89</definedName>
    <definedName name="OSRRefD25x_0" localSheetId="54">'308'!$D$103:$D$105</definedName>
    <definedName name="OSRRefD25x_0" localSheetId="72">'310 &amp; 491'!$D$99:$D$101</definedName>
    <definedName name="OSRRefD25x_0" localSheetId="55">'311'!$D$103:$D$105</definedName>
    <definedName name="OSRRefD25x_0" localSheetId="58">'315'!$D$124:$D$125</definedName>
    <definedName name="OSRRefD25x_0" localSheetId="61">'316'!$D$71</definedName>
    <definedName name="OSRRefD25x_0" localSheetId="63">'317'!$D$88:$D$90</definedName>
    <definedName name="OSRRefD25x_0" localSheetId="57">'331'!$D$138:$D$139</definedName>
    <definedName name="OSRRefD25x_0" localSheetId="60">'332'!$D$73:$D$74</definedName>
    <definedName name="OSRRefD25x_0" localSheetId="76">'411'!$D$67:$D$68</definedName>
    <definedName name="OSRRefD25x_0" localSheetId="80">'415'!$D$77</definedName>
    <definedName name="OSRRefD25x_0" localSheetId="81">'418'!$D$60</definedName>
    <definedName name="OSRRefD25x_0" localSheetId="82">'423'!$D$30</definedName>
    <definedName name="OSRRefD25x_0" localSheetId="85">'455'!$D$21:$D$22</definedName>
    <definedName name="OSRRefD25x_0" localSheetId="73">'491'!$D$89:$D$91</definedName>
    <definedName name="OSRRefD25x_0" localSheetId="93">'501'!$D$56</definedName>
    <definedName name="OSRRefD25x_0" localSheetId="47">'Div 3'!$D$208:$D$211</definedName>
    <definedName name="OSRRefD25x_0" localSheetId="71">'Div 4'!$D$101:$D$103</definedName>
    <definedName name="OSRRefD25x_0" localSheetId="92">'Div 5'!$D$56</definedName>
    <definedName name="OSRRefD25x_0" localSheetId="62">'Div 6'!$D$88:$D$90</definedName>
    <definedName name="OSRRefD25x_0" localSheetId="2">Summary!$D$239:$D$246</definedName>
    <definedName name="OSRRefH13x_0" localSheetId="48">'300'!$H$13:$H$74</definedName>
    <definedName name="OSRRefH13x_0" localSheetId="49">'300 &amp; 317'!$H$13:$H$88</definedName>
    <definedName name="OSRRefH13x_0" localSheetId="53">'307'!$H$13:$H$24</definedName>
    <definedName name="OSRRefH13x_0" localSheetId="54">'308'!$H$13:$H$34</definedName>
    <definedName name="OSRRefH13x_0" localSheetId="64">'310'!$H$13:$H$21</definedName>
    <definedName name="OSRRefH13x_0" localSheetId="72">'310 &amp; 491'!$H$13:$H$24</definedName>
    <definedName name="OSRRefH13x_0" localSheetId="55">'311'!$H$13:$H$34</definedName>
    <definedName name="OSRRefH13x_0" localSheetId="66">'313'!$H$13:$H$16</definedName>
    <definedName name="OSRRefH13x_0" localSheetId="58">'315'!$H$13:$H$51</definedName>
    <definedName name="OSRRefH13x_0" localSheetId="61">'316'!$H$13:$H$23</definedName>
    <definedName name="OSRRefH13x_0" localSheetId="63">'317'!$H$13:$H$32</definedName>
    <definedName name="OSRRefH13x_0" localSheetId="67">'321'!$H$13:$H$14</definedName>
    <definedName name="OSRRefH13x_0" localSheetId="56">'324'!$H$13:$H$16</definedName>
    <definedName name="OSRRefH13x_0" localSheetId="69">'325'!$H$13:$H$14</definedName>
    <definedName name="OSRRefH13x_0" localSheetId="59">'326'!$H$13:$H$33</definedName>
    <definedName name="OSRRefH13x_0" localSheetId="70">'327'!$H$13:$H$14</definedName>
    <definedName name="OSRRefH13x_0" localSheetId="52">'330'!$H$13:$H$27</definedName>
    <definedName name="OSRRefH13x_0" localSheetId="57">'331'!$H$13:$H$51</definedName>
    <definedName name="OSRRefH13x_0" localSheetId="60">'332'!$H$13:$H$23</definedName>
    <definedName name="OSRRefH13x_0" localSheetId="74">'405'!$H$13:$H$14</definedName>
    <definedName name="OSRRefH13x_0" localSheetId="79">'414'!$H$13</definedName>
    <definedName name="OSRRefH13x_0" localSheetId="80">'415'!$H$13:$H$14</definedName>
    <definedName name="OSRRefH13x_0" localSheetId="88">'433'!$H$13:$H$15</definedName>
    <definedName name="OSRRefH13x_0" localSheetId="90">'444'!$H$13:$H$15</definedName>
    <definedName name="OSRRefH13x_0" localSheetId="91">'450'!$H$13:$H$15</definedName>
    <definedName name="OSRRefH13x_0" localSheetId="73">'491'!$H$13:$H$15</definedName>
    <definedName name="OSRRefH13x_0" localSheetId="86">'492'!$H$13:$H$15</definedName>
    <definedName name="OSRRefH13x_0" localSheetId="93">'501'!$H$13</definedName>
    <definedName name="OSRRefH13x_0" localSheetId="47">'Div 3'!$H$13:$H$77</definedName>
    <definedName name="OSRRefH13x_0" localSheetId="71">'Div 4'!$H$13:$H$17</definedName>
    <definedName name="OSRRefH13x_0" localSheetId="92">'Div 5'!$H$13</definedName>
    <definedName name="OSRRefH13x_0" localSheetId="62">'Div 6'!$H$13:$H$32</definedName>
    <definedName name="OSRRefH13x_0" localSheetId="2">Summary!$H$13:$H$94</definedName>
    <definedName name="OSRRefH16x_0" localSheetId="48">'300'!$H$77:$H$110</definedName>
    <definedName name="OSRRefH16x_0" localSheetId="49">'300 &amp; 317'!$H$91:$H$132</definedName>
    <definedName name="OSRRefH16x_0" localSheetId="53">'307'!$H$27:$H$36</definedName>
    <definedName name="OSRRefH16x_0" localSheetId="54">'308'!$H$37:$H$50</definedName>
    <definedName name="OSRRefH16x_0" localSheetId="64">'310'!$H$24:$H$25</definedName>
    <definedName name="OSRRefH16x_0" localSheetId="72">'310 &amp; 491'!$H$27:$H$28</definedName>
    <definedName name="OSRRefH16x_0" localSheetId="55">'311'!$H$37:$H$50</definedName>
    <definedName name="OSRRefH16x_0" localSheetId="66">'313'!$H$19</definedName>
    <definedName name="OSRRefH16x_0" localSheetId="58">'315'!$H$54:$H$73</definedName>
    <definedName name="OSRRefH16x_0" localSheetId="63">'317'!$H$35:$H$46</definedName>
    <definedName name="OSRRefH16x_0" localSheetId="67">'321'!$H$17</definedName>
    <definedName name="OSRRefH16x_0" localSheetId="68">'322'!$H$15</definedName>
    <definedName name="OSRRefH16x_0" localSheetId="56">'324'!$H$19:$H$21</definedName>
    <definedName name="OSRRefH16x_0" localSheetId="69">'325'!$H$17:$H$18</definedName>
    <definedName name="OSRRefH16x_0" localSheetId="59">'326'!$H$36:$H$39</definedName>
    <definedName name="OSRRefH16x_0" localSheetId="70">'327'!$H$17:$H$18</definedName>
    <definedName name="OSRRefH16x_0" localSheetId="52">'330'!$H$30:$H$39</definedName>
    <definedName name="OSRRefH16x_0" localSheetId="57">'331'!$H$54:$H$73</definedName>
    <definedName name="OSRRefH16x_0" localSheetId="60">'332'!$H$26:$H$27</definedName>
    <definedName name="OSRRefH16x_0" localSheetId="74">'405'!$H$17:$H$18</definedName>
    <definedName name="OSRRefH16x_0" localSheetId="80">'415'!$H$17:$H$18</definedName>
    <definedName name="OSRRefH16x_0" localSheetId="81">'418'!$H$15</definedName>
    <definedName name="OSRRefH16x_0" localSheetId="84">'425'!$H$15</definedName>
    <definedName name="OSRRefH16x_0" localSheetId="88">'433'!$H$18:$H$19</definedName>
    <definedName name="OSRRefH16x_0" localSheetId="90">'444'!$H$18:$H$19</definedName>
    <definedName name="OSRRefH16x_0" localSheetId="91">'450'!$H$18:$H$19</definedName>
    <definedName name="OSRRefH16x_0" localSheetId="73">'491'!$H$18:$H$19</definedName>
    <definedName name="OSRRefH16x_0" localSheetId="86">'492'!$H$18:$H$19</definedName>
    <definedName name="OSRRefH16x_0" localSheetId="47">'Div 3'!$H$80:$H$115</definedName>
    <definedName name="OSRRefH16x_0" localSheetId="71">'Div 4'!$H$20:$H$21</definedName>
    <definedName name="OSRRefH16x_0" localSheetId="62">'Div 6'!$H$35:$H$46</definedName>
    <definedName name="OSRRefH16x_0" localSheetId="2">Summary!$H$97:$H$140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'203'!$H$20:$H$28</definedName>
    <definedName name="OSRRefH22_0x_0" localSheetId="44">'204'!$H$20:$H$28</definedName>
    <definedName name="OSRRefH22_0x_0" localSheetId="45">'205'!$H$20:$H$27</definedName>
    <definedName name="OSRRefH22_0x_0" localSheetId="46">'206'!$H$20:$H$26</definedName>
    <definedName name="OSRRefH22_0x_0" localSheetId="48">'300'!$H$116:$H$125</definedName>
    <definedName name="OSRRefH22_0x_0" localSheetId="49">'300 &amp; 317'!$H$138:$H$147</definedName>
    <definedName name="OSRRefH22_0x_0" localSheetId="50">'301'!$H$20:$H$29</definedName>
    <definedName name="OSRRefH22_0x_0" localSheetId="51">'306'!$H$20:$H$23</definedName>
    <definedName name="OSRRefH22_0x_0" localSheetId="53">'307'!$H$42:$H$44</definedName>
    <definedName name="OSRRefH22_0x_0" localSheetId="54">'308'!$H$56:$H$64</definedName>
    <definedName name="OSRRefH22_0x_0" localSheetId="65">'309'!$H$20</definedName>
    <definedName name="OSRRefH22_0x_0" localSheetId="64">'310'!$H$31:$H$38</definedName>
    <definedName name="OSRRefH22_0x_0" localSheetId="72">'310 &amp; 491'!$H$34:$H$41</definedName>
    <definedName name="OSRRefH22_0x_0" localSheetId="55">'311'!$H$56:$H$64</definedName>
    <definedName name="OSRRefH22_0x_0" localSheetId="66">'313'!$H$25:$H$32</definedName>
    <definedName name="OSRRefH22_0x_0" localSheetId="58">'315'!$H$79:$H$86</definedName>
    <definedName name="OSRRefH22_0x_0" localSheetId="61">'316'!$H$31:$H$38</definedName>
    <definedName name="OSRRefH22_0x_0" localSheetId="63">'317'!$H$52:$H$60</definedName>
    <definedName name="OSRRefH22_0x_0" localSheetId="67">'321'!$H$23:$H$30</definedName>
    <definedName name="OSRRefH22_0x_0" localSheetId="68">'322'!$H$21:$H$25</definedName>
    <definedName name="OSRRefH22_0x_0" localSheetId="69">'325'!$H$24:$H$30</definedName>
    <definedName name="OSRRefH22_0x_0" localSheetId="59">'326'!$H$45:$H$52</definedName>
    <definedName name="OSRRefH22_0x_0" localSheetId="70">'327'!$H$24</definedName>
    <definedName name="OSRRefH22_0x_0" localSheetId="52">'330'!$H$45:$H$48</definedName>
    <definedName name="OSRRefH22_0x_0" localSheetId="57">'331'!$H$79:$H$86</definedName>
    <definedName name="OSRRefH22_0x_0" localSheetId="60">'332'!$H$33:$H$40</definedName>
    <definedName name="OSRRefH22_0x_0" localSheetId="74">'405'!$H$24:$H$31</definedName>
    <definedName name="OSRRefH22_0x_0" localSheetId="75">'406'!$H$20</definedName>
    <definedName name="OSRRefH22_0x_0" localSheetId="76">'411'!$H$20:$H$27</definedName>
    <definedName name="OSRRefH22_0x_0" localSheetId="77">'412'!$H$20</definedName>
    <definedName name="OSRRefH22_0x_0" localSheetId="78">'413'!$H$20:$H$24</definedName>
    <definedName name="OSRRefH22_0x_0" localSheetId="79">'414'!$H$21</definedName>
    <definedName name="OSRRefH22_0x_0" localSheetId="80">'415'!$H$24:$H$31</definedName>
    <definedName name="OSRRefH22_0x_0" localSheetId="81">'418'!$H$21:$H$28</definedName>
    <definedName name="OSRRefH22_0x_0" localSheetId="82">'423'!$H$20:$H$21</definedName>
    <definedName name="OSRRefH22_0x_0" localSheetId="83">'424'!$H$20</definedName>
    <definedName name="OSRRefH22_0x_0" localSheetId="84">'425'!$H$21:$H$25</definedName>
    <definedName name="OSRRefH22_0x_0" localSheetId="87">'430'!$H$20:$H$27</definedName>
    <definedName name="OSRRefH22_0x_0" localSheetId="88">'433'!$H$25:$H$33</definedName>
    <definedName name="OSRRefH22_0x_0" localSheetId="89">'435'!$H$20</definedName>
    <definedName name="OSRRefH22_0x_0" localSheetId="90">'444'!$H$25:$H$33</definedName>
    <definedName name="OSRRefH22_0x_0" localSheetId="91">'450'!$H$25:$H$33</definedName>
    <definedName name="OSRRefH22_0x_0" localSheetId="73">'491'!$H$25:$H$32</definedName>
    <definedName name="OSRRefH22_0x_0" localSheetId="86">'492'!$H$25:$H$33</definedName>
    <definedName name="OSRRefH22_0x_0" localSheetId="93">'501'!$H$21:$H$28</definedName>
    <definedName name="OSRRefH22_0x_0" localSheetId="39">'Div 2'!$H$20:$H$29</definedName>
    <definedName name="OSRRefH22_0x_0" localSheetId="47">'Div 3'!$H$121:$H$130</definedName>
    <definedName name="OSRRefH22_0x_0" localSheetId="71">'Div 4'!$H$27:$H$35</definedName>
    <definedName name="OSRRefH22_0x_0" localSheetId="92">'Div 5'!$H$21:$H$28</definedName>
    <definedName name="OSRRefH22_0x_0" localSheetId="62">'Div 6'!$H$52:$H$60</definedName>
    <definedName name="OSRRefH22_0x_0" localSheetId="2">Summary!$H$146:$H$155</definedName>
    <definedName name="OSRRefH22_10x_0" localSheetId="41">'201'!$H$50:$H$51</definedName>
    <definedName name="OSRRefH22_10x_0" localSheetId="42">'202'!$H$53</definedName>
    <definedName name="OSRRefH22_10x_0" localSheetId="43">'203'!$H$56</definedName>
    <definedName name="OSRRefH22_10x_0" localSheetId="48">'300'!$H$154</definedName>
    <definedName name="OSRRefH22_10x_0" localSheetId="49">'300 &amp; 317'!$H$176</definedName>
    <definedName name="OSRRefH22_10x_0" localSheetId="50">'301'!$H$56</definedName>
    <definedName name="OSRRefH22_10x_0" localSheetId="53">'307'!$H$68:$H$70</definedName>
    <definedName name="OSRRefH22_10x_0" localSheetId="54">'308'!$H$92</definedName>
    <definedName name="OSRRefH22_10x_0" localSheetId="64">'310'!$H$61:$H$62</definedName>
    <definedName name="OSRRefH22_10x_0" localSheetId="72">'310 &amp; 491'!$H$67</definedName>
    <definedName name="OSRRefH22_10x_0" localSheetId="55">'311'!$H$92</definedName>
    <definedName name="OSRRefH22_10x_0" localSheetId="58">'315'!$H$115:$H$117</definedName>
    <definedName name="OSRRefH22_10x_0" localSheetId="61">'316'!$H$66</definedName>
    <definedName name="OSRRefH22_10x_0" localSheetId="67">'321'!$H$57</definedName>
    <definedName name="OSRRefH22_10x_0" localSheetId="69">'325'!$H$54:$H$56</definedName>
    <definedName name="OSRRefH22_10x_0" localSheetId="59">'326'!$H$77:$H$78</definedName>
    <definedName name="OSRRefH22_10x_0" localSheetId="52">'330'!$H$73:$H$75</definedName>
    <definedName name="OSRRefH22_10x_0" localSheetId="57">'331'!$H$113</definedName>
    <definedName name="OSRRefH22_10x_0" localSheetId="60">'332'!$H$68</definedName>
    <definedName name="OSRRefH22_10x_0" localSheetId="74">'405'!$H$56:$H$57</definedName>
    <definedName name="OSRRefH22_10x_0" localSheetId="76">'411'!$H$54:$H$55</definedName>
    <definedName name="OSRRefH22_10x_0" localSheetId="80">'415'!$H$55:$H$56</definedName>
    <definedName name="OSRRefH22_10x_0" localSheetId="81">'418'!$H$53:$H$55</definedName>
    <definedName name="OSRRefH22_10x_0" localSheetId="88">'433'!$H$56:$H$57</definedName>
    <definedName name="OSRRefH22_10x_0" localSheetId="90">'444'!$H$57:$H$58</definedName>
    <definedName name="OSRRefH22_10x_0" localSheetId="91">'450'!$H$57</definedName>
    <definedName name="OSRRefH22_10x_0" localSheetId="73">'491'!$H$57</definedName>
    <definedName name="OSRRefH22_10x_0" localSheetId="86">'492'!$H$58</definedName>
    <definedName name="OSRRefH22_10x_0" localSheetId="39">'Div 2'!$H$55</definedName>
    <definedName name="OSRRefH22_10x_0" localSheetId="47">'Div 3'!$H$159</definedName>
    <definedName name="OSRRefH22_10x_0" localSheetId="71">'Div 4'!$H$61</definedName>
    <definedName name="OSRRefH22_10x_0" localSheetId="2">Summary!$H$183:$H$184</definedName>
    <definedName name="OSRRefH22_11x_0" localSheetId="41">'201'!$H$53</definedName>
    <definedName name="OSRRefH22_11x_0" localSheetId="42">'202'!$H$55</definedName>
    <definedName name="OSRRefH22_11x_0" localSheetId="43">'203'!$H$58</definedName>
    <definedName name="OSRRefH22_11x_0" localSheetId="48">'300'!$H$156</definedName>
    <definedName name="OSRRefH22_11x_0" localSheetId="49">'300 &amp; 317'!$H$178</definedName>
    <definedName name="OSRRefH22_11x_0" localSheetId="50">'301'!$H$58</definedName>
    <definedName name="OSRRefH22_11x_0" localSheetId="53">'307'!$H$72</definedName>
    <definedName name="OSRRefH22_11x_0" localSheetId="54">'308'!$H$94:$H$95</definedName>
    <definedName name="OSRRefH22_11x_0" localSheetId="64">'310'!$H$64:$H$66</definedName>
    <definedName name="OSRRefH22_11x_0" localSheetId="72">'310 &amp; 491'!$H$69</definedName>
    <definedName name="OSRRefH22_11x_0" localSheetId="55">'311'!$H$94:$H$95</definedName>
    <definedName name="OSRRefH22_11x_0" localSheetId="58">'315'!$H$119</definedName>
    <definedName name="OSRRefH22_11x_0" localSheetId="61">'316'!$H$68</definedName>
    <definedName name="OSRRefH22_11x_0" localSheetId="69">'325'!$H$58:$H$61</definedName>
    <definedName name="OSRRefH22_11x_0" localSheetId="59">'326'!$H$80</definedName>
    <definedName name="OSRRefH22_11x_0" localSheetId="52">'330'!$H$77</definedName>
    <definedName name="OSRRefH22_11x_0" localSheetId="57">'331'!$H$115:$H$116</definedName>
    <definedName name="OSRRefH22_11x_0" localSheetId="60">'332'!$H$70</definedName>
    <definedName name="OSRRefH22_11x_0" localSheetId="74">'405'!$H$59:$H$64</definedName>
    <definedName name="OSRRefH22_11x_0" localSheetId="76">'411'!$H$57:$H$58</definedName>
    <definedName name="OSRRefH22_11x_0" localSheetId="80">'415'!$H$58:$H$61</definedName>
    <definedName name="OSRRefH22_11x_0" localSheetId="81">'418'!$H$57</definedName>
    <definedName name="OSRRefH22_11x_0" localSheetId="88">'433'!$H$59:$H$61</definedName>
    <definedName name="OSRRefH22_11x_0" localSheetId="90">'444'!$H$60:$H$62</definedName>
    <definedName name="OSRRefH22_11x_0" localSheetId="91">'450'!$H$59</definedName>
    <definedName name="OSRRefH22_11x_0" localSheetId="73">'491'!$H$59</definedName>
    <definedName name="OSRRefH22_11x_0" localSheetId="86">'492'!$H$60</definedName>
    <definedName name="OSRRefH22_11x_0" localSheetId="39">'Div 2'!$H$57:$H$59</definedName>
    <definedName name="OSRRefH22_11x_0" localSheetId="47">'Div 3'!$H$161</definedName>
    <definedName name="OSRRefH22_11x_0" localSheetId="71">'Div 4'!$H$63</definedName>
    <definedName name="OSRRefH22_11x_0" localSheetId="2">Summary!$H$186</definedName>
    <definedName name="OSRRefH22_12x_0" localSheetId="48">'300'!$H$158:$H$159</definedName>
    <definedName name="OSRRefH22_12x_0" localSheetId="49">'300 &amp; 317'!$H$180:$H$181</definedName>
    <definedName name="OSRRefH22_12x_0" localSheetId="50">'301'!$H$60</definedName>
    <definedName name="OSRRefH22_12x_0" localSheetId="54">'308'!$H$97:$H$98</definedName>
    <definedName name="OSRRefH22_12x_0" localSheetId="64">'310'!$H$68:$H$72</definedName>
    <definedName name="OSRRefH22_12x_0" localSheetId="72">'310 &amp; 491'!$H$71</definedName>
    <definedName name="OSRRefH22_12x_0" localSheetId="55">'311'!$H$97:$H$98</definedName>
    <definedName name="OSRRefH22_12x_0" localSheetId="58">'315'!$H$121</definedName>
    <definedName name="OSRRefH22_12x_0" localSheetId="69">'325'!$H$63</definedName>
    <definedName name="OSRRefH22_12x_0" localSheetId="59">'326'!$H$82:$H$85</definedName>
    <definedName name="OSRRefH22_12x_0" localSheetId="57">'331'!$H$118:$H$119</definedName>
    <definedName name="OSRRefH22_12x_0" localSheetId="74">'405'!$H$66</definedName>
    <definedName name="OSRRefH22_12x_0" localSheetId="76">'411'!$H$60</definedName>
    <definedName name="OSRRefH22_12x_0" localSheetId="80">'415'!$H$63</definedName>
    <definedName name="OSRRefH22_12x_0" localSheetId="88">'433'!$H$63:$H$69</definedName>
    <definedName name="OSRRefH22_12x_0" localSheetId="90">'444'!$H$64:$H$70</definedName>
    <definedName name="OSRRefH22_12x_0" localSheetId="91">'450'!$H$61</definedName>
    <definedName name="OSRRefH22_12x_0" localSheetId="73">'491'!$H$61</definedName>
    <definedName name="OSRRefH22_12x_0" localSheetId="86">'492'!$H$62:$H$64</definedName>
    <definedName name="OSRRefH22_12x_0" localSheetId="39">'Div 2'!$H$61:$H$63</definedName>
    <definedName name="OSRRefH22_12x_0" localSheetId="47">'Div 3'!$H$163</definedName>
    <definedName name="OSRRefH22_12x_0" localSheetId="71">'Div 4'!$H$65</definedName>
    <definedName name="OSRRefH22_12x_0" localSheetId="2">Summary!$H$188</definedName>
    <definedName name="OSRRefH22_13x_0" localSheetId="48">'300'!$H$161</definedName>
    <definedName name="OSRRefH22_13x_0" localSheetId="49">'300 &amp; 317'!$H$183</definedName>
    <definedName name="OSRRefH22_13x_0" localSheetId="50">'301'!$H$62:$H$65</definedName>
    <definedName name="OSRRefH22_13x_0" localSheetId="54">'308'!$H$100</definedName>
    <definedName name="OSRRefH22_13x_0" localSheetId="64">'310'!$H$74</definedName>
    <definedName name="OSRRefH22_13x_0" localSheetId="72">'310 &amp; 491'!$H$73:$H$75</definedName>
    <definedName name="OSRRefH22_13x_0" localSheetId="55">'311'!$H$100</definedName>
    <definedName name="OSRRefH22_13x_0" localSheetId="69">'325'!$H$65</definedName>
    <definedName name="OSRRefH22_13x_0" localSheetId="59">'326'!$H$87</definedName>
    <definedName name="OSRRefH22_13x_0" localSheetId="57">'331'!$H$121:$H$122</definedName>
    <definedName name="OSRRefH22_13x_0" localSheetId="74">'405'!$H$68</definedName>
    <definedName name="OSRRefH22_13x_0" localSheetId="76">'411'!$H$62</definedName>
    <definedName name="OSRRefH22_13x_0" localSheetId="80">'415'!$H$65:$H$70</definedName>
    <definedName name="OSRRefH22_13x_0" localSheetId="88">'433'!$H$71</definedName>
    <definedName name="OSRRefH22_13x_0" localSheetId="90">'444'!$H$72</definedName>
    <definedName name="OSRRefH22_13x_0" localSheetId="91">'450'!$H$63:$H$64</definedName>
    <definedName name="OSRRefH22_13x_0" localSheetId="73">'491'!$H$63:$H$65</definedName>
    <definedName name="OSRRefH22_13x_0" localSheetId="86">'492'!$H$66:$H$68</definedName>
    <definedName name="OSRRefH22_13x_0" localSheetId="39">'Div 2'!$H$65</definedName>
    <definedName name="OSRRefH22_13x_0" localSheetId="47">'Div 3'!$H$165:$H$166</definedName>
    <definedName name="OSRRefH22_13x_0" localSheetId="71">'Div 4'!$H$67</definedName>
    <definedName name="OSRRefH22_13x_0" localSheetId="2">Summary!$H$190</definedName>
    <definedName name="OSRRefH22_14x_0" localSheetId="48">'300'!$H$163:$H$166</definedName>
    <definedName name="OSRRefH22_14x_0" localSheetId="49">'300 &amp; 317'!$H$185:$H$188</definedName>
    <definedName name="OSRRefH22_14x_0" localSheetId="50">'301'!$H$67:$H$69</definedName>
    <definedName name="OSRRefH22_14x_0" localSheetId="64">'310'!$H$76</definedName>
    <definedName name="OSRRefH22_14x_0" localSheetId="72">'310 &amp; 491'!$H$77:$H$80</definedName>
    <definedName name="OSRRefH22_14x_0" localSheetId="59">'326'!$H$89</definedName>
    <definedName name="OSRRefH22_14x_0" localSheetId="57">'331'!$H$124</definedName>
    <definedName name="OSRRefH22_14x_0" localSheetId="76">'411'!$H$64</definedName>
    <definedName name="OSRRefH22_14x_0" localSheetId="80">'415'!$H$72</definedName>
    <definedName name="OSRRefH22_14x_0" localSheetId="90">'444'!$H$74</definedName>
    <definedName name="OSRRefH22_14x_0" localSheetId="91">'450'!$H$66:$H$70</definedName>
    <definedName name="OSRRefH22_14x_0" localSheetId="73">'491'!$H$67:$H$70</definedName>
    <definedName name="OSRRefH22_14x_0" localSheetId="86">'492'!$H$70:$H$77</definedName>
    <definedName name="OSRRefH22_14x_0" localSheetId="39">'Div 2'!$H$67</definedName>
    <definedName name="OSRRefH22_14x_0" localSheetId="47">'Div 3'!$H$168</definedName>
    <definedName name="OSRRefH22_14x_0" localSheetId="71">'Div 4'!$H$69</definedName>
    <definedName name="OSRRefH22_14x_0" localSheetId="2">Summary!$H$192:$H$193</definedName>
    <definedName name="OSRRefH22_15x_0" localSheetId="48">'300'!$H$168:$H$170</definedName>
    <definedName name="OSRRefH22_15x_0" localSheetId="49">'300 &amp; 317'!$H$190:$H$192</definedName>
    <definedName name="OSRRefH22_15x_0" localSheetId="50">'301'!$H$71</definedName>
    <definedName name="OSRRefH22_15x_0" localSheetId="72">'310 &amp; 491'!$H$82</definedName>
    <definedName name="OSRRefH22_15x_0" localSheetId="59">'326'!$H$91</definedName>
    <definedName name="OSRRefH22_15x_0" localSheetId="57">'331'!$H$126:$H$129</definedName>
    <definedName name="OSRRefH22_15x_0" localSheetId="80">'415'!$H$74</definedName>
    <definedName name="OSRRefH22_15x_0" localSheetId="91">'450'!$H$72</definedName>
    <definedName name="OSRRefH22_15x_0" localSheetId="73">'491'!$H$72</definedName>
    <definedName name="OSRRefH22_15x_0" localSheetId="86">'492'!$H$79</definedName>
    <definedName name="OSRRefH22_15x_0" localSheetId="39">'Div 2'!$H$69:$H$73</definedName>
    <definedName name="OSRRefH22_15x_0" localSheetId="47">'Div 3'!$H$170:$H$173</definedName>
    <definedName name="OSRRefH22_15x_0" localSheetId="71">'Div 4'!$H$71:$H$73</definedName>
    <definedName name="OSRRefH22_15x_0" localSheetId="2">Summary!$H$195</definedName>
    <definedName name="OSRRefH22_16x_0" localSheetId="48">'300'!$H$172:$H$175</definedName>
    <definedName name="OSRRefH22_16x_0" localSheetId="49">'300 &amp; 317'!$H$194:$H$197</definedName>
    <definedName name="OSRRefH22_16x_0" localSheetId="50">'301'!$H$73:$H$77</definedName>
    <definedName name="OSRRefH22_16x_0" localSheetId="72">'310 &amp; 491'!$H$84:$H$90</definedName>
    <definedName name="OSRRefH22_16x_0" localSheetId="57">'331'!$H$131</definedName>
    <definedName name="OSRRefH22_16x_0" localSheetId="91">'450'!$H$74</definedName>
    <definedName name="OSRRefH22_16x_0" localSheetId="73">'491'!$H$74:$H$80</definedName>
    <definedName name="OSRRefH22_16x_0" localSheetId="86">'492'!$H$81</definedName>
    <definedName name="OSRRefH22_16x_0" localSheetId="39">'Div 2'!$H$75:$H$76</definedName>
    <definedName name="OSRRefH22_16x_0" localSheetId="47">'Div 3'!$H$175:$H$177</definedName>
    <definedName name="OSRRefH22_16x_0" localSheetId="71">'Div 4'!$H$75:$H$78</definedName>
    <definedName name="OSRRefH22_16x_0" localSheetId="2">Summary!$H$197</definedName>
    <definedName name="OSRRefH22_17x_0" localSheetId="48">'300'!$H$177:$H$178</definedName>
    <definedName name="OSRRefH22_17x_0" localSheetId="49">'300 &amp; 317'!$H$199:$H$200</definedName>
    <definedName name="OSRRefH22_17x_0" localSheetId="50">'301'!$H$79</definedName>
    <definedName name="OSRRefH22_17x_0" localSheetId="72">'310 &amp; 491'!$H$92</definedName>
    <definedName name="OSRRefH22_17x_0" localSheetId="57">'331'!$H$133</definedName>
    <definedName name="OSRRefH22_17x_0" localSheetId="73">'491'!$H$82</definedName>
    <definedName name="OSRRefH22_17x_0" localSheetId="86">'492'!$H$83:$H$84</definedName>
    <definedName name="OSRRefH22_17x_0" localSheetId="39">'Div 2'!$H$78</definedName>
    <definedName name="OSRRefH22_17x_0" localSheetId="47">'Div 3'!$H$179:$H$183</definedName>
    <definedName name="OSRRefH22_17x_0" localSheetId="71">'Div 4'!$H$80</definedName>
    <definedName name="OSRRefH22_17x_0" localSheetId="2">Summary!$H$199:$H$202</definedName>
    <definedName name="OSRRefH22_18x_0" localSheetId="48">'300'!$H$180:$H$185</definedName>
    <definedName name="OSRRefH22_18x_0" localSheetId="49">'300 &amp; 317'!$H$202:$H$207</definedName>
    <definedName name="OSRRefH22_18x_0" localSheetId="50">'301'!$H$81</definedName>
    <definedName name="OSRRefH22_18x_0" localSheetId="72">'310 &amp; 491'!$H$94</definedName>
    <definedName name="OSRRefH22_18x_0" localSheetId="57">'331'!$H$135</definedName>
    <definedName name="OSRRefH22_18x_0" localSheetId="73">'491'!$H$84</definedName>
    <definedName name="OSRRefH22_18x_0" localSheetId="39">'Div 2'!$H$80</definedName>
    <definedName name="OSRRefH22_18x_0" localSheetId="47">'Div 3'!$H$185:$H$186</definedName>
    <definedName name="OSRRefH22_18x_0" localSheetId="71">'Div 4'!$H$82:$H$89</definedName>
    <definedName name="OSRRefH22_18x_0" localSheetId="2">Summary!$H$204:$H$206</definedName>
    <definedName name="OSRRefH22_19x_0" localSheetId="48">'300'!$H$187:$H$188</definedName>
    <definedName name="OSRRefH22_19x_0" localSheetId="49">'300 &amp; 317'!$H$209:$H$210</definedName>
    <definedName name="OSRRefH22_19x_0" localSheetId="50">'301'!$H$83:$H$84</definedName>
    <definedName name="OSRRefH22_19x_0" localSheetId="72">'310 &amp; 491'!$H$96</definedName>
    <definedName name="OSRRefH22_19x_0" localSheetId="73">'491'!$H$86</definedName>
    <definedName name="OSRRefH22_19x_0" localSheetId="47">'Div 3'!$H$188:$H$194</definedName>
    <definedName name="OSRRefH22_19x_0" localSheetId="71">'Div 4'!$H$91</definedName>
    <definedName name="OSRRefH22_19x_0" localSheetId="2">Summary!$H$208:$H$212</definedName>
    <definedName name="OSRRefH22_1x_0" localSheetId="40">'200'!$H$22</definedName>
    <definedName name="OSRRefH22_1x_0" localSheetId="41">'201'!$H$29:$H$30</definedName>
    <definedName name="OSRRefH22_1x_0" localSheetId="42">'202'!$H$29:$H$31</definedName>
    <definedName name="OSRRefH22_1x_0" localSheetId="43">'203'!$H$30:$H$33</definedName>
    <definedName name="OSRRefH22_1x_0" localSheetId="44">'204'!$H$30:$H$32</definedName>
    <definedName name="OSRRefH22_1x_0" localSheetId="45">'205'!$H$29</definedName>
    <definedName name="OSRRefH22_1x_0" localSheetId="46">'206'!$H$28:$H$30</definedName>
    <definedName name="OSRRefH22_1x_0" localSheetId="48">'300'!$H$127:$H$133</definedName>
    <definedName name="OSRRefH22_1x_0" localSheetId="49">'300 &amp; 317'!$H$149:$H$155</definedName>
    <definedName name="OSRRefH22_1x_0" localSheetId="50">'301'!$H$31:$H$37</definedName>
    <definedName name="OSRRefH22_1x_0" localSheetId="51">'306'!$H$25:$H$26</definedName>
    <definedName name="OSRRefH22_1x_0" localSheetId="53">'307'!$H$46:$H$47</definedName>
    <definedName name="OSRRefH22_1x_0" localSheetId="54">'308'!$H$66:$H$72</definedName>
    <definedName name="OSRRefH22_1x_0" localSheetId="65">'309'!$H$22:$H$23</definedName>
    <definedName name="OSRRefH22_1x_0" localSheetId="64">'310'!$H$40:$H$42</definedName>
    <definedName name="OSRRefH22_1x_0" localSheetId="72">'310 &amp; 491'!$H$43:$H$47</definedName>
    <definedName name="OSRRefH22_1x_0" localSheetId="55">'311'!$H$66:$H$72</definedName>
    <definedName name="OSRRefH22_1x_0" localSheetId="66">'313'!$H$34</definedName>
    <definedName name="OSRRefH22_1x_0" localSheetId="58">'315'!$H$88:$H$92</definedName>
    <definedName name="OSRRefH22_1x_0" localSheetId="61">'316'!$H$40:$H$42</definedName>
    <definedName name="OSRRefH22_1x_0" localSheetId="63">'317'!$H$62:$H$66</definedName>
    <definedName name="OSRRefH22_1x_0" localSheetId="67">'321'!$H$32:$H$34</definedName>
    <definedName name="OSRRefH22_1x_0" localSheetId="68">'322'!$H$27</definedName>
    <definedName name="OSRRefH22_1x_0" localSheetId="69">'325'!$H$32:$H$34</definedName>
    <definedName name="OSRRefH22_1x_0" localSheetId="59">'326'!$H$54:$H$58</definedName>
    <definedName name="OSRRefH22_1x_0" localSheetId="52">'330'!$H$50:$H$51</definedName>
    <definedName name="OSRRefH22_1x_0" localSheetId="57">'331'!$H$88:$H$92</definedName>
    <definedName name="OSRRefH22_1x_0" localSheetId="60">'332'!$H$42:$H$44</definedName>
    <definedName name="OSRRefH22_1x_0" localSheetId="74">'405'!$H$33:$H$36</definedName>
    <definedName name="OSRRefH22_1x_0" localSheetId="75">'406'!$H$22</definedName>
    <definedName name="OSRRefH22_1x_0" localSheetId="76">'411'!$H$29:$H$33</definedName>
    <definedName name="OSRRefH22_1x_0" localSheetId="77">'412'!$H$22</definedName>
    <definedName name="OSRRefH22_1x_0" localSheetId="78">'413'!$H$26</definedName>
    <definedName name="OSRRefH22_1x_0" localSheetId="79">'414'!$H$23</definedName>
    <definedName name="OSRRefH22_1x_0" localSheetId="80">'415'!$H$33:$H$36</definedName>
    <definedName name="OSRRefH22_1x_0" localSheetId="81">'418'!$H$30:$H$33</definedName>
    <definedName name="OSRRefH22_1x_0" localSheetId="82">'423'!$H$23</definedName>
    <definedName name="OSRRefH22_1x_0" localSheetId="83">'424'!$H$22</definedName>
    <definedName name="OSRRefH22_1x_0" localSheetId="84">'425'!$H$27</definedName>
    <definedName name="OSRRefH22_1x_0" localSheetId="87">'430'!$H$29</definedName>
    <definedName name="OSRRefH22_1x_0" localSheetId="88">'433'!$H$35:$H$38</definedName>
    <definedName name="OSRRefH22_1x_0" localSheetId="90">'444'!$H$35:$H$39</definedName>
    <definedName name="OSRRefH22_1x_0" localSheetId="91">'450'!$H$35:$H$39</definedName>
    <definedName name="OSRRefH22_1x_0" localSheetId="73">'491'!$H$34:$H$38</definedName>
    <definedName name="OSRRefH22_1x_0" localSheetId="86">'492'!$H$35:$H$40</definedName>
    <definedName name="OSRRefH22_1x_0" localSheetId="93">'501'!$H$30:$H$35</definedName>
    <definedName name="OSRRefH22_1x_0" localSheetId="39">'Div 2'!$H$31:$H$36</definedName>
    <definedName name="OSRRefH22_1x_0" localSheetId="47">'Div 3'!$H$132:$H$138</definedName>
    <definedName name="OSRRefH22_1x_0" localSheetId="71">'Div 4'!$H$37:$H$42</definedName>
    <definedName name="OSRRefH22_1x_0" localSheetId="92">'Div 5'!$H$30:$H$35</definedName>
    <definedName name="OSRRefH22_1x_0" localSheetId="62">'Div 6'!$H$62:$H$66</definedName>
    <definedName name="OSRRefH22_1x_0" localSheetId="2">Summary!$H$157:$H$163</definedName>
    <definedName name="OSRRefH22_20x_0" localSheetId="48">'300'!$H$190</definedName>
    <definedName name="OSRRefH22_20x_0" localSheetId="49">'300 &amp; 317'!$H$212</definedName>
    <definedName name="OSRRefH22_20x_0" localSheetId="50">'301'!$H$86</definedName>
    <definedName name="OSRRefH22_20x_0" localSheetId="47">'Div 3'!$H$196:$H$197</definedName>
    <definedName name="OSRRefH22_20x_0" localSheetId="71">'Div 4'!$H$93</definedName>
    <definedName name="OSRRefH22_20x_0" localSheetId="2">Summary!$H$214:$H$215</definedName>
    <definedName name="OSRRefH22_21x_0" localSheetId="48">'300'!$H$192:$H$194</definedName>
    <definedName name="OSRRefH22_21x_0" localSheetId="49">'300 &amp; 317'!$H$214:$H$216</definedName>
    <definedName name="OSRRefH22_21x_0" localSheetId="47">'Div 3'!$H$199</definedName>
    <definedName name="OSRRefH22_21x_0" localSheetId="71">'Div 4'!$H$95:$H$96</definedName>
    <definedName name="OSRRefH22_21x_0" localSheetId="2">Summary!$H$217:$H$225</definedName>
    <definedName name="OSRRefH22_22x_0" localSheetId="48">'300'!$H$196</definedName>
    <definedName name="OSRRefH22_22x_0" localSheetId="49">'300 &amp; 317'!$H$218</definedName>
    <definedName name="OSRRefH22_22x_0" localSheetId="47">'Div 3'!$H$201:$H$203</definedName>
    <definedName name="OSRRefH22_22x_0" localSheetId="71">'Div 4'!$H$98</definedName>
    <definedName name="OSRRefH22_22x_0" localSheetId="2">Summary!$H$227:$H$228</definedName>
    <definedName name="OSRRefH22_23x_0" localSheetId="47">'Div 3'!$H$205</definedName>
    <definedName name="OSRRefH22_23x_0" localSheetId="2">Summary!$H$230</definedName>
    <definedName name="OSRRefH22_24x_0" localSheetId="2">Summary!$H$232:$H$234</definedName>
    <definedName name="OSRRefH22_25x_0" localSheetId="2">Summary!$H$236</definedName>
    <definedName name="OSRRefH22_2x_0" localSheetId="40">'200'!$H$24</definedName>
    <definedName name="OSRRefH22_2x_0" localSheetId="41">'201'!$H$32</definedName>
    <definedName name="OSRRefH22_2x_0" localSheetId="42">'202'!$H$33</definedName>
    <definedName name="OSRRefH22_2x_0" localSheetId="43">'203'!$H$35</definedName>
    <definedName name="OSRRefH22_2x_0" localSheetId="44">'204'!$H$34</definedName>
    <definedName name="OSRRefH22_2x_0" localSheetId="45">'205'!$H$31</definedName>
    <definedName name="OSRRefH22_2x_0" localSheetId="46">'206'!$H$32</definedName>
    <definedName name="OSRRefH22_2x_0" localSheetId="48">'300'!$H$135</definedName>
    <definedName name="OSRRefH22_2x_0" localSheetId="49">'300 &amp; 317'!$H$157</definedName>
    <definedName name="OSRRefH22_2x_0" localSheetId="50">'301'!$H$39</definedName>
    <definedName name="OSRRefH22_2x_0" localSheetId="51">'306'!$H$28</definedName>
    <definedName name="OSRRefH22_2x_0" localSheetId="53">'307'!$H$49</definedName>
    <definedName name="OSRRefH22_2x_0" localSheetId="54">'308'!$H$74</definedName>
    <definedName name="OSRRefH22_2x_0" localSheetId="65">'309'!$H$25:$H$26</definedName>
    <definedName name="OSRRefH22_2x_0" localSheetId="64">'310'!$H$44</definedName>
    <definedName name="OSRRefH22_2x_0" localSheetId="72">'310 &amp; 491'!$H$49</definedName>
    <definedName name="OSRRefH22_2x_0" localSheetId="55">'311'!$H$74</definedName>
    <definedName name="OSRRefH22_2x_0" localSheetId="66">'313'!$H$36</definedName>
    <definedName name="OSRRefH22_2x_0" localSheetId="58">'315'!$H$94</definedName>
    <definedName name="OSRRefH22_2x_0" localSheetId="61">'316'!$H$44</definedName>
    <definedName name="OSRRefH22_2x_0" localSheetId="63">'317'!$H$68</definedName>
    <definedName name="OSRRefH22_2x_0" localSheetId="67">'321'!$H$36</definedName>
    <definedName name="OSRRefH22_2x_0" localSheetId="68">'322'!$H$29</definedName>
    <definedName name="OSRRefH22_2x_0" localSheetId="69">'325'!$H$36</definedName>
    <definedName name="OSRRefH22_2x_0" localSheetId="59">'326'!$H$60</definedName>
    <definedName name="OSRRefH22_2x_0" localSheetId="52">'330'!$H$53</definedName>
    <definedName name="OSRRefH22_2x_0" localSheetId="57">'331'!$H$94</definedName>
    <definedName name="OSRRefH22_2x_0" localSheetId="60">'332'!$H$46</definedName>
    <definedName name="OSRRefH22_2x_0" localSheetId="74">'405'!$H$38</definedName>
    <definedName name="OSRRefH22_2x_0" localSheetId="75">'406'!$H$24</definedName>
    <definedName name="OSRRefH22_2x_0" localSheetId="76">'411'!$H$35</definedName>
    <definedName name="OSRRefH22_2x_0" localSheetId="77">'412'!$H$24</definedName>
    <definedName name="OSRRefH22_2x_0" localSheetId="78">'413'!$H$28</definedName>
    <definedName name="OSRRefH22_2x_0" localSheetId="79">'414'!$H$25</definedName>
    <definedName name="OSRRefH22_2x_0" localSheetId="80">'415'!$H$38</definedName>
    <definedName name="OSRRefH22_2x_0" localSheetId="81">'418'!$H$35</definedName>
    <definedName name="OSRRefH22_2x_0" localSheetId="82">'423'!$H$25</definedName>
    <definedName name="OSRRefH22_2x_0" localSheetId="83">'424'!$H$24</definedName>
    <definedName name="OSRRefH22_2x_0" localSheetId="84">'425'!$H$29</definedName>
    <definedName name="OSRRefH22_2x_0" localSheetId="87">'430'!$H$31</definedName>
    <definedName name="OSRRefH22_2x_0" localSheetId="88">'433'!$H$40</definedName>
    <definedName name="OSRRefH22_2x_0" localSheetId="90">'444'!$H$41</definedName>
    <definedName name="OSRRefH22_2x_0" localSheetId="91">'450'!$H$41</definedName>
    <definedName name="OSRRefH22_2x_0" localSheetId="73">'491'!$H$40</definedName>
    <definedName name="OSRRefH22_2x_0" localSheetId="86">'492'!$H$42</definedName>
    <definedName name="OSRRefH22_2x_0" localSheetId="93">'501'!$H$37</definedName>
    <definedName name="OSRRefH22_2x_0" localSheetId="39">'Div 2'!$H$38</definedName>
    <definedName name="OSRRefH22_2x_0" localSheetId="47">'Div 3'!$H$140</definedName>
    <definedName name="OSRRefH22_2x_0" localSheetId="71">'Div 4'!$H$44</definedName>
    <definedName name="OSRRefH22_2x_0" localSheetId="92">'Div 5'!$H$37</definedName>
    <definedName name="OSRRefH22_2x_0" localSheetId="62">'Div 6'!$H$68</definedName>
    <definedName name="OSRRefH22_2x_0" localSheetId="2">Summary!$H$165</definedName>
    <definedName name="OSRRefH22_3x_0" localSheetId="40">'200'!$H$26</definedName>
    <definedName name="OSRRefH22_3x_0" localSheetId="41">'201'!$H$34</definedName>
    <definedName name="OSRRefH22_3x_0" localSheetId="42">'202'!$H$35</definedName>
    <definedName name="OSRRefH22_3x_0" localSheetId="43">'203'!$H$37</definedName>
    <definedName name="OSRRefH22_3x_0" localSheetId="44">'204'!$H$36</definedName>
    <definedName name="OSRRefH22_3x_0" localSheetId="45">'205'!$H$33:$H$34</definedName>
    <definedName name="OSRRefH22_3x_0" localSheetId="46">'206'!$H$34</definedName>
    <definedName name="OSRRefH22_3x_0" localSheetId="48">'300'!$H$137</definedName>
    <definedName name="OSRRefH22_3x_0" localSheetId="49">'300 &amp; 317'!$H$159</definedName>
    <definedName name="OSRRefH22_3x_0" localSheetId="50">'301'!$H$41</definedName>
    <definedName name="OSRRefH22_3x_0" localSheetId="51">'306'!$H$30</definedName>
    <definedName name="OSRRefH22_3x_0" localSheetId="53">'307'!$H$51</definedName>
    <definedName name="OSRRefH22_3x_0" localSheetId="54">'308'!$H$76</definedName>
    <definedName name="OSRRefH22_3x_0" localSheetId="65">'309'!$H$28</definedName>
    <definedName name="OSRRefH22_3x_0" localSheetId="64">'310'!$H$46</definedName>
    <definedName name="OSRRefH22_3x_0" localSheetId="72">'310 &amp; 491'!$H$51</definedName>
    <definedName name="OSRRefH22_3x_0" localSheetId="55">'311'!$H$76</definedName>
    <definedName name="OSRRefH22_3x_0" localSheetId="66">'313'!$H$38</definedName>
    <definedName name="OSRRefH22_3x_0" localSheetId="58">'315'!$H$96:$H$97</definedName>
    <definedName name="OSRRefH22_3x_0" localSheetId="61">'316'!$H$46</definedName>
    <definedName name="OSRRefH22_3x_0" localSheetId="63">'317'!$H$70</definedName>
    <definedName name="OSRRefH22_3x_0" localSheetId="67">'321'!$H$38</definedName>
    <definedName name="OSRRefH22_3x_0" localSheetId="68">'322'!$H$31</definedName>
    <definedName name="OSRRefH22_3x_0" localSheetId="69">'325'!$H$38</definedName>
    <definedName name="OSRRefH22_3x_0" localSheetId="59">'326'!$H$62</definedName>
    <definedName name="OSRRefH22_3x_0" localSheetId="52">'330'!$H$55</definedName>
    <definedName name="OSRRefH22_3x_0" localSheetId="57">'331'!$H$96</definedName>
    <definedName name="OSRRefH22_3x_0" localSheetId="60">'332'!$H$48</definedName>
    <definedName name="OSRRefH22_3x_0" localSheetId="74">'405'!$H$40</definedName>
    <definedName name="OSRRefH22_3x_0" localSheetId="75">'406'!$H$26</definedName>
    <definedName name="OSRRefH22_3x_0" localSheetId="76">'411'!$H$37:$H$38</definedName>
    <definedName name="OSRRefH22_3x_0" localSheetId="77">'412'!$H$26</definedName>
    <definedName name="OSRRefH22_3x_0" localSheetId="78">'413'!$H$30</definedName>
    <definedName name="OSRRefH22_3x_0" localSheetId="79">'414'!$H$27</definedName>
    <definedName name="OSRRefH22_3x_0" localSheetId="80">'415'!$H$40</definedName>
    <definedName name="OSRRefH22_3x_0" localSheetId="81">'418'!$H$37</definedName>
    <definedName name="OSRRefH22_3x_0" localSheetId="82">'423'!$H$27</definedName>
    <definedName name="OSRRefH22_3x_0" localSheetId="83">'424'!$H$26</definedName>
    <definedName name="OSRRefH22_3x_0" localSheetId="84">'425'!$H$31</definedName>
    <definedName name="OSRRefH22_3x_0" localSheetId="87">'430'!$H$33</definedName>
    <definedName name="OSRRefH22_3x_0" localSheetId="88">'433'!$H$42</definedName>
    <definedName name="OSRRefH22_3x_0" localSheetId="90">'444'!$H$43</definedName>
    <definedName name="OSRRefH22_3x_0" localSheetId="91">'450'!$H$43</definedName>
    <definedName name="OSRRefH22_3x_0" localSheetId="73">'491'!$H$42</definedName>
    <definedName name="OSRRefH22_3x_0" localSheetId="86">'492'!$H$44</definedName>
    <definedName name="OSRRefH22_3x_0" localSheetId="93">'501'!$H$39</definedName>
    <definedName name="OSRRefH22_3x_0" localSheetId="39">'Div 2'!$H$40</definedName>
    <definedName name="OSRRefH22_3x_0" localSheetId="47">'Div 3'!$H$142</definedName>
    <definedName name="OSRRefH22_3x_0" localSheetId="71">'Div 4'!$H$46</definedName>
    <definedName name="OSRRefH22_3x_0" localSheetId="92">'Div 5'!$H$39</definedName>
    <definedName name="OSRRefH22_3x_0" localSheetId="62">'Div 6'!$H$70</definedName>
    <definedName name="OSRRefH22_3x_0" localSheetId="2">Summary!$H$167</definedName>
    <definedName name="OSRRefH22_4x_0" localSheetId="41">'201'!$H$36</definedName>
    <definedName name="OSRRefH22_4x_0" localSheetId="42">'202'!$H$37:$H$38</definedName>
    <definedName name="OSRRefH22_4x_0" localSheetId="43">'203'!$H$39</definedName>
    <definedName name="OSRRefH22_4x_0" localSheetId="44">'204'!$H$38:$H$40</definedName>
    <definedName name="OSRRefH22_4x_0" localSheetId="45">'205'!$H$36:$H$37</definedName>
    <definedName name="OSRRefH22_4x_0" localSheetId="46">'206'!$H$36</definedName>
    <definedName name="OSRRefH22_4x_0" localSheetId="48">'300'!$H$139</definedName>
    <definedName name="OSRRefH22_4x_0" localSheetId="49">'300 &amp; 317'!$H$161</definedName>
    <definedName name="OSRRefH22_4x_0" localSheetId="50">'301'!$H$43</definedName>
    <definedName name="OSRRefH22_4x_0" localSheetId="51">'306'!$H$32</definedName>
    <definedName name="OSRRefH22_4x_0" localSheetId="53">'307'!$H$53:$H$54</definedName>
    <definedName name="OSRRefH22_4x_0" localSheetId="54">'308'!$H$78</definedName>
    <definedName name="OSRRefH22_4x_0" localSheetId="64">'310'!$H$48</definedName>
    <definedName name="OSRRefH22_4x_0" localSheetId="72">'310 &amp; 491'!$H$53</definedName>
    <definedName name="OSRRefH22_4x_0" localSheetId="55">'311'!$H$78</definedName>
    <definedName name="OSRRefH22_4x_0" localSheetId="66">'313'!$H$40</definedName>
    <definedName name="OSRRefH22_4x_0" localSheetId="58">'315'!$H$99</definedName>
    <definedName name="OSRRefH22_4x_0" localSheetId="61">'316'!$H$48</definedName>
    <definedName name="OSRRefH22_4x_0" localSheetId="63">'317'!$H$72</definedName>
    <definedName name="OSRRefH22_4x_0" localSheetId="67">'321'!$H$40</definedName>
    <definedName name="OSRRefH22_4x_0" localSheetId="68">'322'!$H$33:$H$34</definedName>
    <definedName name="OSRRefH22_4x_0" localSheetId="69">'325'!$H$40</definedName>
    <definedName name="OSRRefH22_4x_0" localSheetId="59">'326'!$H$64</definedName>
    <definedName name="OSRRefH22_4x_0" localSheetId="52">'330'!$H$57:$H$58</definedName>
    <definedName name="OSRRefH22_4x_0" localSheetId="57">'331'!$H$98</definedName>
    <definedName name="OSRRefH22_4x_0" localSheetId="60">'332'!$H$50</definedName>
    <definedName name="OSRRefH22_4x_0" localSheetId="74">'405'!$H$42</definedName>
    <definedName name="OSRRefH22_4x_0" localSheetId="75">'406'!$H$28</definedName>
    <definedName name="OSRRefH22_4x_0" localSheetId="76">'411'!$H$40</definedName>
    <definedName name="OSRRefH22_4x_0" localSheetId="77">'412'!$H$28</definedName>
    <definedName name="OSRRefH22_4x_0" localSheetId="78">'413'!$H$32</definedName>
    <definedName name="OSRRefH22_4x_0" localSheetId="79">'414'!$H$29:$H$30</definedName>
    <definedName name="OSRRefH22_4x_0" localSheetId="80">'415'!$H$42</definedName>
    <definedName name="OSRRefH22_4x_0" localSheetId="81">'418'!$H$39:$H$40</definedName>
    <definedName name="OSRRefH22_4x_0" localSheetId="84">'425'!$H$33</definedName>
    <definedName name="OSRRefH22_4x_0" localSheetId="87">'430'!$H$35:$H$36</definedName>
    <definedName name="OSRRefH22_4x_0" localSheetId="88">'433'!$H$44</definedName>
    <definedName name="OSRRefH22_4x_0" localSheetId="90">'444'!$H$45</definedName>
    <definedName name="OSRRefH22_4x_0" localSheetId="91">'450'!$H$45</definedName>
    <definedName name="OSRRefH22_4x_0" localSheetId="73">'491'!$H$44</definedName>
    <definedName name="OSRRefH22_4x_0" localSheetId="86">'492'!$H$46</definedName>
    <definedName name="OSRRefH22_4x_0" localSheetId="93">'501'!$H$41:$H$42</definedName>
    <definedName name="OSRRefH22_4x_0" localSheetId="39">'Div 2'!$H$42</definedName>
    <definedName name="OSRRefH22_4x_0" localSheetId="47">'Div 3'!$H$144</definedName>
    <definedName name="OSRRefH22_4x_0" localSheetId="71">'Div 4'!$H$48</definedName>
    <definedName name="OSRRefH22_4x_0" localSheetId="92">'Div 5'!$H$41:$H$42</definedName>
    <definedName name="OSRRefH22_4x_0" localSheetId="62">'Div 6'!$H$72</definedName>
    <definedName name="OSRRefH22_4x_0" localSheetId="2">Summary!$H$169</definedName>
    <definedName name="OSRRefH22_5x_0" localSheetId="41">'201'!$H$38</definedName>
    <definedName name="OSRRefH22_5x_0" localSheetId="42">'202'!$H$40</definedName>
    <definedName name="OSRRefH22_5x_0" localSheetId="43">'203'!$H$41</definedName>
    <definedName name="OSRRefH22_5x_0" localSheetId="44">'204'!$H$42</definedName>
    <definedName name="OSRRefH22_5x_0" localSheetId="45">'205'!$H$39</definedName>
    <definedName name="OSRRefH22_5x_0" localSheetId="46">'206'!$H$38</definedName>
    <definedName name="OSRRefH22_5x_0" localSheetId="48">'300'!$H$141:$H$142</definedName>
    <definedName name="OSRRefH22_5x_0" localSheetId="49">'300 &amp; 317'!$H$163:$H$164</definedName>
    <definedName name="OSRRefH22_5x_0" localSheetId="50">'301'!$H$45:$H$46</definedName>
    <definedName name="OSRRefH22_5x_0" localSheetId="51">'306'!$H$34</definedName>
    <definedName name="OSRRefH22_5x_0" localSheetId="53">'307'!$H$56</definedName>
    <definedName name="OSRRefH22_5x_0" localSheetId="54">'308'!$H$80</definedName>
    <definedName name="OSRRefH22_5x_0" localSheetId="64">'310'!$H$50:$H$51</definedName>
    <definedName name="OSRRefH22_5x_0" localSheetId="72">'310 &amp; 491'!$H$55:$H$56</definedName>
    <definedName name="OSRRefH22_5x_0" localSheetId="55">'311'!$H$80</definedName>
    <definedName name="OSRRefH22_5x_0" localSheetId="66">'313'!$H$42</definedName>
    <definedName name="OSRRefH22_5x_0" localSheetId="58">'315'!$H$101:$H$102</definedName>
    <definedName name="OSRRefH22_5x_0" localSheetId="61">'316'!$H$50:$H$51</definedName>
    <definedName name="OSRRefH22_5x_0" localSheetId="63">'317'!$H$74:$H$75</definedName>
    <definedName name="OSRRefH22_5x_0" localSheetId="67">'321'!$H$42</definedName>
    <definedName name="OSRRefH22_5x_0" localSheetId="68">'322'!$H$36</definedName>
    <definedName name="OSRRefH22_5x_0" localSheetId="69">'325'!$H$42:$H$43</definedName>
    <definedName name="OSRRefH22_5x_0" localSheetId="59">'326'!$H$66</definedName>
    <definedName name="OSRRefH22_5x_0" localSheetId="52">'330'!$H$60:$H$61</definedName>
    <definedName name="OSRRefH22_5x_0" localSheetId="57">'331'!$H$100:$H$101</definedName>
    <definedName name="OSRRefH22_5x_0" localSheetId="60">'332'!$H$52:$H$53</definedName>
    <definedName name="OSRRefH22_5x_0" localSheetId="74">'405'!$H$44:$H$45</definedName>
    <definedName name="OSRRefH22_5x_0" localSheetId="76">'411'!$H$42</definedName>
    <definedName name="OSRRefH22_5x_0" localSheetId="78">'413'!$H$34</definedName>
    <definedName name="OSRRefH22_5x_0" localSheetId="80">'415'!$H$44:$H$45</definedName>
    <definedName name="OSRRefH22_5x_0" localSheetId="81">'418'!$H$42</definedName>
    <definedName name="OSRRefH22_5x_0" localSheetId="87">'430'!$H$38</definedName>
    <definedName name="OSRRefH22_5x_0" localSheetId="88">'433'!$H$46</definedName>
    <definedName name="OSRRefH22_5x_0" localSheetId="90">'444'!$H$47</definedName>
    <definedName name="OSRRefH22_5x_0" localSheetId="91">'450'!$H$47</definedName>
    <definedName name="OSRRefH22_5x_0" localSheetId="73">'491'!$H$46:$H$47</definedName>
    <definedName name="OSRRefH22_5x_0" localSheetId="86">'492'!$H$48</definedName>
    <definedName name="OSRRefH22_5x_0" localSheetId="93">'501'!$H$44</definedName>
    <definedName name="OSRRefH22_5x_0" localSheetId="39">'Div 2'!$H$44</definedName>
    <definedName name="OSRRefH22_5x_0" localSheetId="47">'Div 3'!$H$146:$H$147</definedName>
    <definedName name="OSRRefH22_5x_0" localSheetId="71">'Div 4'!$H$50:$H$51</definedName>
    <definedName name="OSRRefH22_5x_0" localSheetId="92">'Div 5'!$H$44</definedName>
    <definedName name="OSRRefH22_5x_0" localSheetId="62">'Div 6'!$H$74:$H$75</definedName>
    <definedName name="OSRRefH22_5x_0" localSheetId="2">Summary!$H$171:$H$172</definedName>
    <definedName name="OSRRefH22_6x_0" localSheetId="41">'201'!$H$40</definedName>
    <definedName name="OSRRefH22_6x_0" localSheetId="42">'202'!$H$42:$H$44</definedName>
    <definedName name="OSRRefH22_6x_0" localSheetId="43">'203'!$H$43:$H$44</definedName>
    <definedName name="OSRRefH22_6x_0" localSheetId="44">'204'!$H$44:$H$45</definedName>
    <definedName name="OSRRefH22_6x_0" localSheetId="46">'206'!$H$40</definedName>
    <definedName name="OSRRefH22_6x_0" localSheetId="48">'300'!$H$144:$H$145</definedName>
    <definedName name="OSRRefH22_6x_0" localSheetId="49">'300 &amp; 317'!$H$166:$H$167</definedName>
    <definedName name="OSRRefH22_6x_0" localSheetId="50">'301'!$H$48</definedName>
    <definedName name="OSRRefH22_6x_0" localSheetId="53">'307'!$H$58</definedName>
    <definedName name="OSRRefH22_6x_0" localSheetId="54">'308'!$H$82</definedName>
    <definedName name="OSRRefH22_6x_0" localSheetId="64">'310'!$H$53</definedName>
    <definedName name="OSRRefH22_6x_0" localSheetId="72">'310 &amp; 491'!$H$58</definedName>
    <definedName name="OSRRefH22_6x_0" localSheetId="55">'311'!$H$82</definedName>
    <definedName name="OSRRefH22_6x_0" localSheetId="66">'313'!$H$44</definedName>
    <definedName name="OSRRefH22_6x_0" localSheetId="58">'315'!$H$104:$H$105</definedName>
    <definedName name="OSRRefH22_6x_0" localSheetId="61">'316'!$H$53</definedName>
    <definedName name="OSRRefH22_6x_0" localSheetId="63">'317'!$H$77</definedName>
    <definedName name="OSRRefH22_6x_0" localSheetId="67">'321'!$H$44:$H$45</definedName>
    <definedName name="OSRRefH22_6x_0" localSheetId="68">'322'!$H$38</definedName>
    <definedName name="OSRRefH22_6x_0" localSheetId="69">'325'!$H$45</definedName>
    <definedName name="OSRRefH22_6x_0" localSheetId="59">'326'!$H$68</definedName>
    <definedName name="OSRRefH22_6x_0" localSheetId="52">'330'!$H$63</definedName>
    <definedName name="OSRRefH22_6x_0" localSheetId="57">'331'!$H$103</definedName>
    <definedName name="OSRRefH22_6x_0" localSheetId="60">'332'!$H$55</definedName>
    <definedName name="OSRRefH22_6x_0" localSheetId="74">'405'!$H$47</definedName>
    <definedName name="OSRRefH22_6x_0" localSheetId="76">'411'!$H$44</definedName>
    <definedName name="OSRRefH22_6x_0" localSheetId="80">'415'!$H$47</definedName>
    <definedName name="OSRRefH22_6x_0" localSheetId="81">'418'!$H$44</definedName>
    <definedName name="OSRRefH22_6x_0" localSheetId="87">'430'!$H$40</definedName>
    <definedName name="OSRRefH22_6x_0" localSheetId="88">'433'!$H$48</definedName>
    <definedName name="OSRRefH22_6x_0" localSheetId="90">'444'!$H$49</definedName>
    <definedName name="OSRRefH22_6x_0" localSheetId="91">'450'!$H$49</definedName>
    <definedName name="OSRRefH22_6x_0" localSheetId="73">'491'!$H$49</definedName>
    <definedName name="OSRRefH22_6x_0" localSheetId="86">'492'!$H$50</definedName>
    <definedName name="OSRRefH22_6x_0" localSheetId="93">'501'!$H$46</definedName>
    <definedName name="OSRRefH22_6x_0" localSheetId="39">'Div 2'!$H$46</definedName>
    <definedName name="OSRRefH22_6x_0" localSheetId="47">'Div 3'!$H$149:$H$150</definedName>
    <definedName name="OSRRefH22_6x_0" localSheetId="71">'Div 4'!$H$53</definedName>
    <definedName name="OSRRefH22_6x_0" localSheetId="92">'Div 5'!$H$46</definedName>
    <definedName name="OSRRefH22_6x_0" localSheetId="62">'Div 6'!$H$77</definedName>
    <definedName name="OSRRefH22_6x_0" localSheetId="2">Summary!$H$174:$H$175</definedName>
    <definedName name="OSRRefH22_7x_0" localSheetId="41">'201'!$H$42:$H$43</definedName>
    <definedName name="OSRRefH22_7x_0" localSheetId="42">'202'!$H$46</definedName>
    <definedName name="OSRRefH22_7x_0" localSheetId="43">'203'!$H$46:$H$47</definedName>
    <definedName name="OSRRefH22_7x_0" localSheetId="48">'300'!$H$147</definedName>
    <definedName name="OSRRefH22_7x_0" localSheetId="49">'300 &amp; 317'!$H$169</definedName>
    <definedName name="OSRRefH22_7x_0" localSheetId="50">'301'!$H$50</definedName>
    <definedName name="OSRRefH22_7x_0" localSheetId="53">'307'!$H$60</definedName>
    <definedName name="OSRRefH22_7x_0" localSheetId="54">'308'!$H$84</definedName>
    <definedName name="OSRRefH22_7x_0" localSheetId="64">'310'!$H$55</definedName>
    <definedName name="OSRRefH22_7x_0" localSheetId="72">'310 &amp; 491'!$H$60</definedName>
    <definedName name="OSRRefH22_7x_0" localSheetId="55">'311'!$H$84</definedName>
    <definedName name="OSRRefH22_7x_0" localSheetId="58">'315'!$H$107:$H$108</definedName>
    <definedName name="OSRRefH22_7x_0" localSheetId="61">'316'!$H$55:$H$56</definedName>
    <definedName name="OSRRefH22_7x_0" localSheetId="63">'317'!$H$79</definedName>
    <definedName name="OSRRefH22_7x_0" localSheetId="67">'321'!$H$47:$H$48</definedName>
    <definedName name="OSRRefH22_7x_0" localSheetId="69">'325'!$H$47</definedName>
    <definedName name="OSRRefH22_7x_0" localSheetId="59">'326'!$H$70</definedName>
    <definedName name="OSRRefH22_7x_0" localSheetId="52">'330'!$H$65</definedName>
    <definedName name="OSRRefH22_7x_0" localSheetId="57">'331'!$H$105:$H$106</definedName>
    <definedName name="OSRRefH22_7x_0" localSheetId="60">'332'!$H$57:$H$58</definedName>
    <definedName name="OSRRefH22_7x_0" localSheetId="74">'405'!$H$49</definedName>
    <definedName name="OSRRefH22_7x_0" localSheetId="76">'411'!$H$46</definedName>
    <definedName name="OSRRefH22_7x_0" localSheetId="80">'415'!$H$49</definedName>
    <definedName name="OSRRefH22_7x_0" localSheetId="81">'418'!$H$46:$H$47</definedName>
    <definedName name="OSRRefH22_7x_0" localSheetId="88">'433'!$H$50</definedName>
    <definedName name="OSRRefH22_7x_0" localSheetId="90">'444'!$H$51</definedName>
    <definedName name="OSRRefH22_7x_0" localSheetId="91">'450'!$H$51</definedName>
    <definedName name="OSRRefH22_7x_0" localSheetId="73">'491'!$H$51</definedName>
    <definedName name="OSRRefH22_7x_0" localSheetId="86">'492'!$H$52</definedName>
    <definedName name="OSRRefH22_7x_0" localSheetId="93">'501'!$H$48:$H$49</definedName>
    <definedName name="OSRRefH22_7x_0" localSheetId="39">'Div 2'!$H$48</definedName>
    <definedName name="OSRRefH22_7x_0" localSheetId="47">'Div 3'!$H$152</definedName>
    <definedName name="OSRRefH22_7x_0" localSheetId="71">'Div 4'!$H$55</definedName>
    <definedName name="OSRRefH22_7x_0" localSheetId="92">'Div 5'!$H$48:$H$49</definedName>
    <definedName name="OSRRefH22_7x_0" localSheetId="62">'Div 6'!$H$79</definedName>
    <definedName name="OSRRefH22_7x_0" localSheetId="2">Summary!$H$177</definedName>
    <definedName name="OSRRefH22_8x_0" localSheetId="41">'201'!$H$45:$H$46</definedName>
    <definedName name="OSRRefH22_8x_0" localSheetId="42">'202'!$H$48:$H$49</definedName>
    <definedName name="OSRRefH22_8x_0" localSheetId="43">'203'!$H$49</definedName>
    <definedName name="OSRRefH22_8x_0" localSheetId="48">'300'!$H$149</definedName>
    <definedName name="OSRRefH22_8x_0" localSheetId="49">'300 &amp; 317'!$H$171</definedName>
    <definedName name="OSRRefH22_8x_0" localSheetId="50">'301'!$H$52</definedName>
    <definedName name="OSRRefH22_8x_0" localSheetId="53">'307'!$H$62:$H$63</definedName>
    <definedName name="OSRRefH22_8x_0" localSheetId="54">'308'!$H$86</definedName>
    <definedName name="OSRRefH22_8x_0" localSheetId="64">'310'!$H$57</definedName>
    <definedName name="OSRRefH22_8x_0" localSheetId="72">'310 &amp; 491'!$H$62:$H$63</definedName>
    <definedName name="OSRRefH22_8x_0" localSheetId="55">'311'!$H$86</definedName>
    <definedName name="OSRRefH22_8x_0" localSheetId="58">'315'!$H$110:$H$111</definedName>
    <definedName name="OSRRefH22_8x_0" localSheetId="61">'316'!$H$58</definedName>
    <definedName name="OSRRefH22_8x_0" localSheetId="63">'317'!$H$81:$H$83</definedName>
    <definedName name="OSRRefH22_8x_0" localSheetId="67">'321'!$H$50:$H$53</definedName>
    <definedName name="OSRRefH22_8x_0" localSheetId="69">'325'!$H$49</definedName>
    <definedName name="OSRRefH22_8x_0" localSheetId="59">'326'!$H$72</definedName>
    <definedName name="OSRRefH22_8x_0" localSheetId="52">'330'!$H$67:$H$68</definedName>
    <definedName name="OSRRefH22_8x_0" localSheetId="57">'331'!$H$108</definedName>
    <definedName name="OSRRefH22_8x_0" localSheetId="60">'332'!$H$60</definedName>
    <definedName name="OSRRefH22_8x_0" localSheetId="74">'405'!$H$51</definedName>
    <definedName name="OSRRefH22_8x_0" localSheetId="76">'411'!$H$48</definedName>
    <definedName name="OSRRefH22_8x_0" localSheetId="80">'415'!$H$51</definedName>
    <definedName name="OSRRefH22_8x_0" localSheetId="81">'418'!$H$49</definedName>
    <definedName name="OSRRefH22_8x_0" localSheetId="88">'433'!$H$52</definedName>
    <definedName name="OSRRefH22_8x_0" localSheetId="90">'444'!$H$53</definedName>
    <definedName name="OSRRefH22_8x_0" localSheetId="91">'450'!$H$53</definedName>
    <definedName name="OSRRefH22_8x_0" localSheetId="73">'491'!$H$53</definedName>
    <definedName name="OSRRefH22_8x_0" localSheetId="86">'492'!$H$54</definedName>
    <definedName name="OSRRefH22_8x_0" localSheetId="93">'501'!$H$51</definedName>
    <definedName name="OSRRefH22_8x_0" localSheetId="39">'Div 2'!$H$50:$H$51</definedName>
    <definedName name="OSRRefH22_8x_0" localSheetId="47">'Div 3'!$H$154</definedName>
    <definedName name="OSRRefH22_8x_0" localSheetId="71">'Div 4'!$H$57</definedName>
    <definedName name="OSRRefH22_8x_0" localSheetId="92">'Div 5'!$H$51</definedName>
    <definedName name="OSRRefH22_8x_0" localSheetId="62">'Div 6'!$H$81:$H$83</definedName>
    <definedName name="OSRRefH22_8x_0" localSheetId="2">Summary!$H$179</definedName>
    <definedName name="OSRRefH22_9x_0" localSheetId="41">'201'!$H$48</definedName>
    <definedName name="OSRRefH22_9x_0" localSheetId="42">'202'!$H$51</definedName>
    <definedName name="OSRRefH22_9x_0" localSheetId="43">'203'!$H$51:$H$54</definedName>
    <definedName name="OSRRefH22_9x_0" localSheetId="48">'300'!$H$151:$H$152</definedName>
    <definedName name="OSRRefH22_9x_0" localSheetId="49">'300 &amp; 317'!$H$173:$H$174</definedName>
    <definedName name="OSRRefH22_9x_0" localSheetId="50">'301'!$H$54</definedName>
    <definedName name="OSRRefH22_9x_0" localSheetId="53">'307'!$H$65:$H$66</definedName>
    <definedName name="OSRRefH22_9x_0" localSheetId="54">'308'!$H$88:$H$90</definedName>
    <definedName name="OSRRefH22_9x_0" localSheetId="64">'310'!$H$59</definedName>
    <definedName name="OSRRefH22_9x_0" localSheetId="72">'310 &amp; 491'!$H$65</definedName>
    <definedName name="OSRRefH22_9x_0" localSheetId="55">'311'!$H$88:$H$90</definedName>
    <definedName name="OSRRefH22_9x_0" localSheetId="58">'315'!$H$113</definedName>
    <definedName name="OSRRefH22_9x_0" localSheetId="61">'316'!$H$60:$H$64</definedName>
    <definedName name="OSRRefH22_9x_0" localSheetId="63">'317'!$H$85</definedName>
    <definedName name="OSRRefH22_9x_0" localSheetId="67">'321'!$H$55</definedName>
    <definedName name="OSRRefH22_9x_0" localSheetId="69">'325'!$H$51:$H$52</definedName>
    <definedName name="OSRRefH22_9x_0" localSheetId="59">'326'!$H$74:$H$75</definedName>
    <definedName name="OSRRefH22_9x_0" localSheetId="52">'330'!$H$70:$H$71</definedName>
    <definedName name="OSRRefH22_9x_0" localSheetId="57">'331'!$H$110:$H$111</definedName>
    <definedName name="OSRRefH22_9x_0" localSheetId="60">'332'!$H$62:$H$66</definedName>
    <definedName name="OSRRefH22_9x_0" localSheetId="74">'405'!$H$53:$H$54</definedName>
    <definedName name="OSRRefH22_9x_0" localSheetId="76">'411'!$H$50:$H$52</definedName>
    <definedName name="OSRRefH22_9x_0" localSheetId="80">'415'!$H$53</definedName>
    <definedName name="OSRRefH22_9x_0" localSheetId="81">'418'!$H$51</definedName>
    <definedName name="OSRRefH22_9x_0" localSheetId="88">'433'!$H$54</definedName>
    <definedName name="OSRRefH22_9x_0" localSheetId="90">'444'!$H$55</definedName>
    <definedName name="OSRRefH22_9x_0" localSheetId="91">'450'!$H$55</definedName>
    <definedName name="OSRRefH22_9x_0" localSheetId="73">'491'!$H$55</definedName>
    <definedName name="OSRRefH22_9x_0" localSheetId="86">'492'!$H$56</definedName>
    <definedName name="OSRRefH22_9x_0" localSheetId="93">'501'!$H$53</definedName>
    <definedName name="OSRRefH22_9x_0" localSheetId="39">'Div 2'!$H$53</definedName>
    <definedName name="OSRRefH22_9x_0" localSheetId="47">'Div 3'!$H$156:$H$157</definedName>
    <definedName name="OSRRefH22_9x_0" localSheetId="71">'Div 4'!$H$59</definedName>
    <definedName name="OSRRefH22_9x_0" localSheetId="92">'Div 5'!$H$53</definedName>
    <definedName name="OSRRefH22_9x_0" localSheetId="62">'Div 6'!$H$85</definedName>
    <definedName name="OSRRefH22_9x_0" localSheetId="2">Summary!$H$181</definedName>
    <definedName name="OSRRefH22x_0" localSheetId="40">'200'!$H$20,'200'!$H$22,'200'!$H$24,'200'!$H$26</definedName>
    <definedName name="OSRRefH22x_0" localSheetId="41">'201'!$H$20:$H$27,'201'!$H$29:$H$30,'201'!$H$32,'201'!$H$34,'201'!$H$36,'201'!$H$38,'201'!$H$40,'201'!$H$42:$H$43,'201'!$H$45:$H$46,'201'!$H$48,'201'!$H$50:$H$51,'201'!$H$53</definedName>
    <definedName name="OSRRefH22x_0" localSheetId="42">'202'!$H$20:$H$27,'202'!$H$29:$H$31,'202'!$H$33,'202'!$H$35,'202'!$H$37:$H$38,'202'!$H$40,'202'!$H$42:$H$44,'202'!$H$46,'202'!$H$48:$H$49,'202'!$H$51,'202'!$H$53,'202'!$H$55</definedName>
    <definedName name="OSRRefH22x_0" localSheetId="43">'203'!$H$20:$H$28,'203'!$H$30:$H$33,'203'!$H$35,'203'!$H$37,'203'!$H$39,'203'!$H$41,'203'!$H$43:$H$44,'203'!$H$46:$H$47,'203'!$H$49,'203'!$H$51:$H$54,'203'!$H$56,'203'!$H$58</definedName>
    <definedName name="OSRRefH22x_0" localSheetId="44">'204'!$H$20:$H$28,'204'!$H$30:$H$32,'204'!$H$34,'204'!$H$36,'204'!$H$38:$H$40,'204'!$H$42,'204'!$H$44:$H$45</definedName>
    <definedName name="OSRRefH22x_0" localSheetId="45">'205'!$H$20:$H$27,'205'!$H$29,'205'!$H$31,'205'!$H$33:$H$34,'205'!$H$36:$H$37,'205'!$H$39</definedName>
    <definedName name="OSRRefH22x_0" localSheetId="46">'206'!$H$20:$H$26,'206'!$H$28:$H$30,'206'!$H$32,'206'!$H$34,'206'!$H$36,'206'!$H$38,'206'!$H$40</definedName>
    <definedName name="OSRRefH22x_0" localSheetId="48">'300'!$H$116:$H$125,'300'!$H$127:$H$133,'300'!$H$135,'300'!$H$137,'300'!$H$139,'300'!$H$141:$H$142,'300'!$H$144:$H$145,'300'!$H$147,'300'!$H$149,'300'!$H$151:$H$152,'300'!$H$154,'300'!$H$156,'300'!$H$158:$H$159,'300'!$H$161,'300'!$H$163:$H$166,'300'!$H$168:$H$170,'300'!$H$172:$H$175,'300'!$H$177:$H$178,'300'!$H$180:$H$185,'300'!$H$187:$H$188,'300'!$H$190,'300'!$H$192:$H$194,'300'!$H$196</definedName>
    <definedName name="OSRRefH22x_0" localSheetId="49">'300 &amp; 317'!$H$138:$H$147,'300 &amp; 317'!$H$149:$H$155,'300 &amp; 317'!$H$157,'300 &amp; 317'!$H$159,'300 &amp; 317'!$H$161,'300 &amp; 317'!$H$163:$H$164,'300 &amp; 317'!$H$166:$H$167,'300 &amp; 317'!$H$169,'300 &amp; 317'!$H$171,'300 &amp; 317'!$H$173:$H$174,'300 &amp; 317'!$H$176,'300 &amp; 317'!$H$178,'300 &amp; 317'!$H$180:$H$181,'300 &amp; 317'!$H$183,'300 &amp; 317'!$H$185:$H$188,'300 &amp; 317'!$H$190:$H$192,'300 &amp; 317'!$H$194:$H$197,'300 &amp; 317'!$H$199:$H$200,'300 &amp; 317'!$H$202:$H$207,'300 &amp; 317'!$H$209:$H$210,'300 &amp; 317'!$H$212,'300 &amp; 317'!$H$214:$H$216,'300 &amp; 317'!$H$218</definedName>
    <definedName name="OSRRefH22x_0" localSheetId="50">'301'!$H$20:$H$29,'301'!$H$31:$H$37,'301'!$H$39,'301'!$H$41,'301'!$H$43,'301'!$H$45:$H$46,'301'!$H$48,'301'!$H$50,'301'!$H$52,'301'!$H$54,'301'!$H$56,'301'!$H$58,'301'!$H$60,'301'!$H$62:$H$65,'301'!$H$67:$H$69,'301'!$H$71,'301'!$H$73:$H$77,'301'!$H$79,'301'!$H$81,'301'!$H$83:$H$84,'301'!$H$86</definedName>
    <definedName name="OSRRefH22x_0" localSheetId="51">'306'!$H$20:$H$23,'306'!$H$25:$H$26,'306'!$H$28,'306'!$H$30,'306'!$H$32,'306'!$H$34</definedName>
    <definedName name="OSRRefH22x_0" localSheetId="53">'307'!$H$42:$H$44,'307'!$H$46:$H$47,'307'!$H$49,'307'!$H$51,'307'!$H$53:$H$54,'307'!$H$56,'307'!$H$58,'307'!$H$60,'307'!$H$62:$H$63,'307'!$H$65:$H$66,'307'!$H$68:$H$70,'307'!$H$72</definedName>
    <definedName name="OSRRefH22x_0" localSheetId="54">'308'!$H$56:$H$64,'308'!$H$66:$H$72,'308'!$H$74,'308'!$H$76,'308'!$H$78,'308'!$H$80,'308'!$H$82,'308'!$H$84,'308'!$H$86,'308'!$H$88:$H$90,'308'!$H$92,'308'!$H$94:$H$95,'308'!$H$97:$H$98,'308'!$H$100</definedName>
    <definedName name="OSRRefH22x_0" localSheetId="65">'309'!$H$20,'309'!$H$22:$H$23,'309'!$H$25:$H$26,'309'!$H$28</definedName>
    <definedName name="OSRRefH22x_0" localSheetId="64">'310'!$H$31:$H$38,'310'!$H$40:$H$42,'310'!$H$44,'310'!$H$46,'310'!$H$48,'310'!$H$50:$H$51,'310'!$H$53,'310'!$H$55,'310'!$H$57,'310'!$H$59,'310'!$H$61:$H$62,'310'!$H$64:$H$66,'310'!$H$68:$H$72,'310'!$H$74,'310'!$H$76</definedName>
    <definedName name="OSRRefH22x_0" localSheetId="72">'310 &amp; 491'!$H$34:$H$41,'310 &amp; 491'!$H$43:$H$47,'310 &amp; 491'!$H$49,'310 &amp; 491'!$H$51,'310 &amp; 491'!$H$53,'310 &amp; 491'!$H$55:$H$56,'310 &amp; 491'!$H$58,'310 &amp; 491'!$H$60,'310 &amp; 491'!$H$62:$H$63,'310 &amp; 491'!$H$65,'310 &amp; 491'!$H$67,'310 &amp; 491'!$H$69,'310 &amp; 491'!$H$71,'310 &amp; 491'!$H$73:$H$75,'310 &amp; 491'!$H$77:$H$80,'310 &amp; 491'!$H$82,'310 &amp; 491'!$H$84:$H$90,'310 &amp; 491'!$H$92,'310 &amp; 491'!$H$94,'310 &amp; 491'!$H$96</definedName>
    <definedName name="OSRRefH22x_0" localSheetId="55">'311'!$H$56:$H$64,'311'!$H$66:$H$72,'311'!$H$74,'311'!$H$76,'311'!$H$78,'311'!$H$80,'311'!$H$82,'311'!$H$84,'311'!$H$86,'311'!$H$88:$H$90,'311'!$H$92,'311'!$H$94:$H$95,'311'!$H$97:$H$98,'311'!$H$100</definedName>
    <definedName name="OSRRefH22x_0" localSheetId="66">'313'!$H$25:$H$32,'313'!$H$34,'313'!$H$36,'313'!$H$38,'313'!$H$40,'313'!$H$42,'313'!$H$44</definedName>
    <definedName name="OSRRefH22x_0" localSheetId="58">'315'!$H$79:$H$86,'315'!$H$88:$H$92,'315'!$H$94,'315'!$H$96:$H$97,'315'!$H$99,'315'!$H$101:$H$102,'315'!$H$104:$H$105,'315'!$H$107:$H$108,'315'!$H$110:$H$111,'315'!$H$113,'315'!$H$115:$H$117,'315'!$H$119,'315'!$H$121</definedName>
    <definedName name="OSRRefH22x_0" localSheetId="61">'316'!$H$31:$H$38,'316'!$H$40:$H$42,'316'!$H$44,'316'!$H$46,'316'!$H$48,'316'!$H$50:$H$51,'316'!$H$53,'316'!$H$55:$H$56,'316'!$H$58,'316'!$H$60:$H$64,'316'!$H$66,'316'!$H$68</definedName>
    <definedName name="OSRRefH22x_0" localSheetId="63">'317'!$H$52:$H$60,'317'!$H$62:$H$66,'317'!$H$68,'317'!$H$70,'317'!$H$72,'317'!$H$74:$H$75,'317'!$H$77,'317'!$H$79,'317'!$H$81:$H$83,'317'!$H$85</definedName>
    <definedName name="OSRRefH22x_0" localSheetId="67">'321'!$H$23:$H$30,'321'!$H$32:$H$34,'321'!$H$36,'321'!$H$38,'321'!$H$40,'321'!$H$42,'321'!$H$44:$H$45,'321'!$H$47:$H$48,'321'!$H$50:$H$53,'321'!$H$55,'321'!$H$57</definedName>
    <definedName name="OSRRefH22x_0" localSheetId="68">'322'!$H$21:$H$25,'322'!$H$27,'322'!$H$29,'322'!$H$31,'322'!$H$33:$H$34,'322'!$H$36,'322'!$H$38</definedName>
    <definedName name="OSRRefH22x_0" localSheetId="69">'325'!$H$24:$H$30,'325'!$H$32:$H$34,'325'!$H$36,'325'!$H$38,'325'!$H$40,'325'!$H$42:$H$43,'325'!$H$45,'325'!$H$47,'325'!$H$49,'325'!$H$51:$H$52,'325'!$H$54:$H$56,'325'!$H$58:$H$61,'325'!$H$63,'325'!$H$65</definedName>
    <definedName name="OSRRefH22x_0" localSheetId="59">'326'!$H$45:$H$52,'326'!$H$54:$H$58,'326'!$H$60,'326'!$H$62,'326'!$H$64,'326'!$H$66,'326'!$H$68,'326'!$H$70,'326'!$H$72,'326'!$H$74:$H$75,'326'!$H$77:$H$78,'326'!$H$80,'326'!$H$82:$H$85,'326'!$H$87,'326'!$H$89,'326'!$H$91</definedName>
    <definedName name="OSRRefH22x_0" localSheetId="70">'327'!$H$24</definedName>
    <definedName name="OSRRefH22x_0" localSheetId="52">'330'!$H$45:$H$48,'330'!$H$50:$H$51,'330'!$H$53,'330'!$H$55,'330'!$H$57:$H$58,'330'!$H$60:$H$61,'330'!$H$63,'330'!$H$65,'330'!$H$67:$H$68,'330'!$H$70:$H$71,'330'!$H$73:$H$75,'330'!$H$77</definedName>
    <definedName name="OSRRefH22x_0" localSheetId="57">'331'!$H$79:$H$86,'331'!$H$88:$H$92,'331'!$H$94,'331'!$H$96,'331'!$H$98,'331'!$H$100:$H$101,'331'!$H$103,'331'!$H$105:$H$106,'331'!$H$108,'331'!$H$110:$H$111,'331'!$H$113,'331'!$H$115:$H$116,'331'!$H$118:$H$119,'331'!$H$121:$H$122,'331'!$H$124,'331'!$H$126:$H$129,'331'!$H$131,'331'!$H$133,'331'!$H$135</definedName>
    <definedName name="OSRRefH22x_0" localSheetId="60">'332'!$H$33:$H$40,'332'!$H$42:$H$44,'332'!$H$46,'332'!$H$48,'332'!$H$50,'332'!$H$52:$H$53,'332'!$H$55,'332'!$H$57:$H$58,'332'!$H$60,'332'!$H$62:$H$66,'332'!$H$68,'332'!$H$70</definedName>
    <definedName name="OSRRefH22x_0" localSheetId="74">'405'!$H$24:$H$31,'405'!$H$33:$H$36,'405'!$H$38,'405'!$H$40,'405'!$H$42,'405'!$H$44:$H$45,'405'!$H$47,'405'!$H$49,'405'!$H$51,'405'!$H$53:$H$54,'405'!$H$56:$H$57,'405'!$H$59:$H$64,'405'!$H$66,'405'!$H$68</definedName>
    <definedName name="OSRRefH22x_0" localSheetId="75">'406'!$H$20,'406'!$H$22,'406'!$H$24,'406'!$H$26,'406'!$H$28</definedName>
    <definedName name="OSRRefH22x_0" localSheetId="76">'411'!$H$20:$H$27,'411'!$H$29:$H$33,'411'!$H$35,'411'!$H$37:$H$38,'411'!$H$40,'411'!$H$42,'411'!$H$44,'411'!$H$46,'411'!$H$48,'411'!$H$50:$H$52,'411'!$H$54:$H$55,'411'!$H$57:$H$58,'411'!$H$60,'411'!$H$62,'411'!$H$64</definedName>
    <definedName name="OSRRefH22x_0" localSheetId="77">'412'!$H$20,'412'!$H$22,'412'!$H$24,'412'!$H$26,'412'!$H$28</definedName>
    <definedName name="OSRRefH22x_0" localSheetId="78">'413'!$H$20:$H$24,'413'!$H$26,'413'!$H$28,'413'!$H$30,'413'!$H$32,'413'!$H$34</definedName>
    <definedName name="OSRRefH22x_0" localSheetId="79">'414'!$H$21,'414'!$H$23,'414'!$H$25,'414'!$H$27,'414'!$H$29:$H$30</definedName>
    <definedName name="OSRRefH22x_0" localSheetId="80">'415'!$H$24:$H$31,'415'!$H$33:$H$36,'415'!$H$38,'415'!$H$40,'415'!$H$42,'415'!$H$44:$H$45,'415'!$H$47,'415'!$H$49,'415'!$H$51,'415'!$H$53,'415'!$H$55:$H$56,'415'!$H$58:$H$61,'415'!$H$63,'415'!$H$65:$H$70,'415'!$H$72,'415'!$H$74</definedName>
    <definedName name="OSRRefH22x_0" localSheetId="81">'418'!$H$21:$H$28,'418'!$H$30:$H$33,'418'!$H$35,'418'!$H$37,'418'!$H$39:$H$40,'418'!$H$42,'418'!$H$44,'418'!$H$46:$H$47,'418'!$H$49,'418'!$H$51,'418'!$H$53:$H$55,'418'!$H$57</definedName>
    <definedName name="OSRRefH22x_0" localSheetId="82">'423'!$H$20:$H$21,'423'!$H$23,'423'!$H$25,'423'!$H$27</definedName>
    <definedName name="OSRRefH22x_0" localSheetId="83">'424'!$H$20,'424'!$H$22,'424'!$H$24,'424'!$H$26</definedName>
    <definedName name="OSRRefH22x_0" localSheetId="84">'425'!$H$21:$H$25,'425'!$H$27,'425'!$H$29,'425'!$H$31,'425'!$H$33</definedName>
    <definedName name="OSRRefH22x_0" localSheetId="87">'430'!$H$20:$H$27,'430'!$H$29,'430'!$H$31,'430'!$H$33,'430'!$H$35:$H$36,'430'!$H$38,'430'!$H$40</definedName>
    <definedName name="OSRRefH22x_0" localSheetId="88">'433'!$H$25:$H$33,'433'!$H$35:$H$38,'433'!$H$40,'433'!$H$42,'433'!$H$44,'433'!$H$46,'433'!$H$48,'433'!$H$50,'433'!$H$52,'433'!$H$54,'433'!$H$56:$H$57,'433'!$H$59:$H$61,'433'!$H$63:$H$69,'433'!$H$71</definedName>
    <definedName name="OSRRefH22x_0" localSheetId="89">'435'!$H$20</definedName>
    <definedName name="OSRRefH22x_0" localSheetId="90">'444'!$H$25:$H$33,'444'!$H$35:$H$39,'444'!$H$41,'444'!$H$43,'444'!$H$45,'444'!$H$47,'444'!$H$49,'444'!$H$51,'444'!$H$53,'444'!$H$55,'444'!$H$57:$H$58,'444'!$H$60:$H$62,'444'!$H$64:$H$70,'444'!$H$72,'444'!$H$74</definedName>
    <definedName name="OSRRefH22x_0" localSheetId="91">'450'!$H$25:$H$33,'450'!$H$35:$H$39,'450'!$H$41,'450'!$H$43,'450'!$H$45,'450'!$H$47,'450'!$H$49,'450'!$H$51,'450'!$H$53,'450'!$H$55,'450'!$H$57,'450'!$H$59,'450'!$H$61,'450'!$H$63:$H$64,'450'!$H$66:$H$70,'450'!$H$72,'450'!$H$74</definedName>
    <definedName name="OSRRefH22x_0" localSheetId="73">'491'!$H$25:$H$32,'491'!$H$34:$H$38,'491'!$H$40,'491'!$H$42,'491'!$H$44,'491'!$H$46:$H$47,'491'!$H$49,'491'!$H$51,'491'!$H$53,'491'!$H$55,'491'!$H$57,'491'!$H$59,'491'!$H$61,'491'!$H$63:$H$65,'491'!$H$67:$H$70,'491'!$H$72,'491'!$H$74:$H$80,'491'!$H$82,'491'!$H$84,'491'!$H$86</definedName>
    <definedName name="OSRRefH22x_0" localSheetId="86">'492'!$H$25:$H$33,'492'!$H$35:$H$40,'492'!$H$42,'492'!$H$44,'492'!$H$46,'492'!$H$48,'492'!$H$50,'492'!$H$52,'492'!$H$54,'492'!$H$56,'492'!$H$58,'492'!$H$60,'492'!$H$62:$H$64,'492'!$H$66:$H$68,'492'!$H$70:$H$77,'492'!$H$79,'492'!$H$81,'492'!$H$83:$H$84</definedName>
    <definedName name="OSRRefH22x_0" localSheetId="93">'501'!$H$21:$H$28,'501'!$H$30:$H$35,'501'!$H$37,'501'!$H$39,'501'!$H$41:$H$42,'501'!$H$44,'501'!$H$46,'501'!$H$48:$H$49,'501'!$H$51,'501'!$H$53</definedName>
    <definedName name="OSRRefH22x_0" localSheetId="39">'Div 2'!$H$20:$H$29,'Div 2'!$H$31:$H$36,'Div 2'!$H$38,'Div 2'!$H$40,'Div 2'!$H$42,'Div 2'!$H$44,'Div 2'!$H$46,'Div 2'!$H$48,'Div 2'!$H$50:$H$51,'Div 2'!$H$53,'Div 2'!$H$55,'Div 2'!$H$57:$H$59,'Div 2'!$H$61:$H$63,'Div 2'!$H$65,'Div 2'!$H$67,'Div 2'!$H$69:$H$73,'Div 2'!$H$75:$H$76,'Div 2'!$H$78,'Div 2'!$H$80</definedName>
    <definedName name="OSRRefH22x_0" localSheetId="47">'Div 3'!$H$121:$H$130,'Div 3'!$H$132:$H$138,'Div 3'!$H$140,'Div 3'!$H$142,'Div 3'!$H$144,'Div 3'!$H$146:$H$147,'Div 3'!$H$149:$H$150,'Div 3'!$H$152,'Div 3'!$H$154,'Div 3'!$H$156:$H$157,'Div 3'!$H$159,'Div 3'!$H$161,'Div 3'!$H$163,'Div 3'!$H$165:$H$166,'Div 3'!$H$168,'Div 3'!$H$170:$H$173,'Div 3'!$H$175:$H$177,'Div 3'!$H$179:$H$183,'Div 3'!$H$185:$H$186,'Div 3'!$H$188:$H$194,'Div 3'!$H$196:$H$197,'Div 3'!$H$199,'Div 3'!$H$201:$H$203,'Div 3'!$H$205</definedName>
    <definedName name="OSRRefH22x_0" localSheetId="71">'Div 4'!$H$27:$H$35,'Div 4'!$H$37:$H$42,'Div 4'!$H$44,'Div 4'!$H$46,'Div 4'!$H$48,'Div 4'!$H$50:$H$51,'Div 4'!$H$53,'Div 4'!$H$55,'Div 4'!$H$57,'Div 4'!$H$59,'Div 4'!$H$61,'Div 4'!$H$63,'Div 4'!$H$65,'Div 4'!$H$67,'Div 4'!$H$69,'Div 4'!$H$71:$H$73,'Div 4'!$H$75:$H$78,'Div 4'!$H$80,'Div 4'!$H$82:$H$89,'Div 4'!$H$91,'Div 4'!$H$93,'Div 4'!$H$95:$H$96,'Div 4'!$H$98</definedName>
    <definedName name="OSRRefH22x_0" localSheetId="92">'Div 5'!$H$21:$H$28,'Div 5'!$H$30:$H$35,'Div 5'!$H$37,'Div 5'!$H$39,'Div 5'!$H$41:$H$42,'Div 5'!$H$44,'Div 5'!$H$46,'Div 5'!$H$48:$H$49,'Div 5'!$H$51,'Div 5'!$H$53</definedName>
    <definedName name="OSRRefH22x_0" localSheetId="62">'Div 6'!$H$52:$H$60,'Div 6'!$H$62:$H$66,'Div 6'!$H$68,'Div 6'!$H$70,'Div 6'!$H$72,'Div 6'!$H$74:$H$75,'Div 6'!$H$77,'Div 6'!$H$79,'Div 6'!$H$81:$H$83,'Div 6'!$H$85</definedName>
    <definedName name="OSRRefH22x_0" localSheetId="2">Summary!$H$146:$H$155,Summary!$H$157:$H$163,Summary!$H$165,Summary!$H$167,Summary!$H$169,Summary!$H$171:$H$172,Summary!$H$174:$H$175,Summary!$H$177,Summary!$H$179,Summary!$H$181,Summary!$H$183:$H$184,Summary!$H$186,Summary!$H$188,Summary!$H$190,Summary!$H$192:$H$193,Summary!$H$195,Summary!$H$197,Summary!$H$199:$H$202,Summary!$H$204:$H$206,Summary!$H$208:$H$212,Summary!$H$214:$H$215,Summary!$H$217:$H$225,Summary!$H$227:$H$228,Summary!$H$230,Summary!$H$232:$H$234,Summary!$H$236</definedName>
    <definedName name="OSRRefH25x_0" localSheetId="48">'300'!$H$199:$H$202</definedName>
    <definedName name="OSRRefH25x_0" localSheetId="49">'300 &amp; 317'!$H$221:$H$226</definedName>
    <definedName name="OSRRefH25x_0" localSheetId="50">'301'!$H$89</definedName>
    <definedName name="OSRRefH25x_0" localSheetId="54">'308'!$H$103:$H$105</definedName>
    <definedName name="OSRRefH25x_0" localSheetId="72">'310 &amp; 491'!$H$99:$H$101</definedName>
    <definedName name="OSRRefH25x_0" localSheetId="55">'311'!$H$103:$H$105</definedName>
    <definedName name="OSRRefH25x_0" localSheetId="58">'315'!$H$124:$H$125</definedName>
    <definedName name="OSRRefH25x_0" localSheetId="61">'316'!$H$71</definedName>
    <definedName name="OSRRefH25x_0" localSheetId="63">'317'!$H$88:$H$90</definedName>
    <definedName name="OSRRefH25x_0" localSheetId="57">'331'!$H$138:$H$139</definedName>
    <definedName name="OSRRefH25x_0" localSheetId="60">'332'!$H$73:$H$74</definedName>
    <definedName name="OSRRefH25x_0" localSheetId="76">'411'!$H$67:$H$68</definedName>
    <definedName name="OSRRefH25x_0" localSheetId="80">'415'!$H$77</definedName>
    <definedName name="OSRRefH25x_0" localSheetId="81">'418'!$H$60</definedName>
    <definedName name="OSRRefH25x_0" localSheetId="82">'423'!$H$30</definedName>
    <definedName name="OSRRefH25x_0" localSheetId="85">'455'!$H$21:$H$22</definedName>
    <definedName name="OSRRefH25x_0" localSheetId="73">'491'!$H$89:$H$91</definedName>
    <definedName name="OSRRefH25x_0" localSheetId="93">'501'!$H$56</definedName>
    <definedName name="OSRRefH25x_0" localSheetId="47">'Div 3'!$H$208:$H$211</definedName>
    <definedName name="OSRRefH25x_0" localSheetId="71">'Div 4'!$H$101:$H$103</definedName>
    <definedName name="OSRRefH25x_0" localSheetId="92">'Div 5'!$H$56</definedName>
    <definedName name="OSRRefH25x_0" localSheetId="62">'Div 6'!$H$88:$H$90</definedName>
    <definedName name="OSRRefH25x_0" localSheetId="2">Summary!$H$239:$H$246</definedName>
    <definedName name="OSRRefP13x_0" localSheetId="48">'300'!$P$13:$P$74</definedName>
    <definedName name="OSRRefP13x_0" localSheetId="49">'300 &amp; 317'!$P$13:$P$88</definedName>
    <definedName name="OSRRefP13x_0" localSheetId="53">'307'!$P$13:$P$24</definedName>
    <definedName name="OSRRefP13x_0" localSheetId="54">'308'!$P$13:$P$34</definedName>
    <definedName name="OSRRefP13x_0" localSheetId="64">'310'!$P$13:$P$21</definedName>
    <definedName name="OSRRefP13x_0" localSheetId="72">'310 &amp; 491'!$P$13:$P$24</definedName>
    <definedName name="OSRRefP13x_0" localSheetId="55">'311'!$P$13:$P$34</definedName>
    <definedName name="OSRRefP13x_0" localSheetId="66">'313'!$P$13:$P$16</definedName>
    <definedName name="OSRRefP13x_0" localSheetId="58">'315'!$P$13:$P$51</definedName>
    <definedName name="OSRRefP13x_0" localSheetId="61">'316'!$P$13:$P$23</definedName>
    <definedName name="OSRRefP13x_0" localSheetId="63">'317'!$P$13:$P$32</definedName>
    <definedName name="OSRRefP13x_0" localSheetId="67">'321'!$P$13:$P$14</definedName>
    <definedName name="OSRRefP13x_0" localSheetId="56">'324'!$P$13:$P$16</definedName>
    <definedName name="OSRRefP13x_0" localSheetId="69">'325'!$P$13:$P$14</definedName>
    <definedName name="OSRRefP13x_0" localSheetId="59">'326'!$P$13:$P$33</definedName>
    <definedName name="OSRRefP13x_0" localSheetId="70">'327'!$P$13:$P$14</definedName>
    <definedName name="OSRRefP13x_0" localSheetId="52">'330'!$P$13:$P$27</definedName>
    <definedName name="OSRRefP13x_0" localSheetId="57">'331'!$P$13:$P$51</definedName>
    <definedName name="OSRRefP13x_0" localSheetId="60">'332'!$P$13:$P$23</definedName>
    <definedName name="OSRRefP13x_0" localSheetId="74">'405'!$P$13:$P$14</definedName>
    <definedName name="OSRRefP13x_0" localSheetId="79">'414'!$P$13</definedName>
    <definedName name="OSRRefP13x_0" localSheetId="80">'415'!$P$13:$P$14</definedName>
    <definedName name="OSRRefP13x_0" localSheetId="88">'433'!$P$13:$P$15</definedName>
    <definedName name="OSRRefP13x_0" localSheetId="90">'444'!$P$13:$P$15</definedName>
    <definedName name="OSRRefP13x_0" localSheetId="91">'450'!$P$13:$P$15</definedName>
    <definedName name="OSRRefP13x_0" localSheetId="73">'491'!$P$13:$P$15</definedName>
    <definedName name="OSRRefP13x_0" localSheetId="86">'492'!$P$13:$P$15</definedName>
    <definedName name="OSRRefP13x_0" localSheetId="93">'501'!$P$13</definedName>
    <definedName name="OSRRefP13x_0" localSheetId="47">'Div 3'!$P$13:$P$77</definedName>
    <definedName name="OSRRefP13x_0" localSheetId="71">'Div 4'!$P$13:$P$17</definedName>
    <definedName name="OSRRefP13x_0" localSheetId="92">'Div 5'!$P$13</definedName>
    <definedName name="OSRRefP13x_0" localSheetId="62">'Div 6'!$P$13:$P$32</definedName>
    <definedName name="OSRRefP13x_0" localSheetId="2">Summary!$P$13:$P$94</definedName>
    <definedName name="OSRRefP16x_0" localSheetId="48">'300'!$P$77:$P$110</definedName>
    <definedName name="OSRRefP16x_0" localSheetId="49">'300 &amp; 317'!$P$91:$P$132</definedName>
    <definedName name="OSRRefP16x_0" localSheetId="53">'307'!$P$27:$P$36</definedName>
    <definedName name="OSRRefP16x_0" localSheetId="54">'308'!$P$37:$P$50</definedName>
    <definedName name="OSRRefP16x_0" localSheetId="64">'310'!$P$24:$P$25</definedName>
    <definedName name="OSRRefP16x_0" localSheetId="72">'310 &amp; 491'!$P$27:$P$28</definedName>
    <definedName name="OSRRefP16x_0" localSheetId="55">'311'!$P$37:$P$50</definedName>
    <definedName name="OSRRefP16x_0" localSheetId="66">'313'!$P$19</definedName>
    <definedName name="OSRRefP16x_0" localSheetId="58">'315'!$P$54:$P$73</definedName>
    <definedName name="OSRRefP16x_0" localSheetId="63">'317'!$P$35:$P$46</definedName>
    <definedName name="OSRRefP16x_0" localSheetId="67">'321'!$P$17</definedName>
    <definedName name="OSRRefP16x_0" localSheetId="68">'322'!$P$15</definedName>
    <definedName name="OSRRefP16x_0" localSheetId="56">'324'!$P$19:$P$21</definedName>
    <definedName name="OSRRefP16x_0" localSheetId="69">'325'!$P$17:$P$18</definedName>
    <definedName name="OSRRefP16x_0" localSheetId="59">'326'!$P$36:$P$39</definedName>
    <definedName name="OSRRefP16x_0" localSheetId="70">'327'!$P$17:$P$18</definedName>
    <definedName name="OSRRefP16x_0" localSheetId="52">'330'!$P$30:$P$39</definedName>
    <definedName name="OSRRefP16x_0" localSheetId="57">'331'!$P$54:$P$73</definedName>
    <definedName name="OSRRefP16x_0" localSheetId="60">'332'!$P$26:$P$27</definedName>
    <definedName name="OSRRefP16x_0" localSheetId="74">'405'!$P$17:$P$18</definedName>
    <definedName name="OSRRefP16x_0" localSheetId="80">'415'!$P$17:$P$18</definedName>
    <definedName name="OSRRefP16x_0" localSheetId="81">'418'!$P$15</definedName>
    <definedName name="OSRRefP16x_0" localSheetId="84">'425'!$P$15</definedName>
    <definedName name="OSRRefP16x_0" localSheetId="88">'433'!$P$18:$P$19</definedName>
    <definedName name="OSRRefP16x_0" localSheetId="90">'444'!$P$18:$P$19</definedName>
    <definedName name="OSRRefP16x_0" localSheetId="91">'450'!$P$18:$P$19</definedName>
    <definedName name="OSRRefP16x_0" localSheetId="73">'491'!$P$18:$P$19</definedName>
    <definedName name="OSRRefP16x_0" localSheetId="86">'492'!$P$18:$P$19</definedName>
    <definedName name="OSRRefP16x_0" localSheetId="47">'Div 3'!$P$80:$P$115</definedName>
    <definedName name="OSRRefP16x_0" localSheetId="71">'Div 4'!$P$20:$P$21</definedName>
    <definedName name="OSRRefP16x_0" localSheetId="62">'Div 6'!$P$35:$P$46</definedName>
    <definedName name="OSRRefP16x_0" localSheetId="2">Summary!$P$97:$P$140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'203'!$P$20:$P$28</definedName>
    <definedName name="OSRRefP22_0x_0" localSheetId="44">'204'!$P$20:$P$28</definedName>
    <definedName name="OSRRefP22_0x_0" localSheetId="45">'205'!$P$20:$P$27</definedName>
    <definedName name="OSRRefP22_0x_0" localSheetId="46">'206'!$P$20:$P$26</definedName>
    <definedName name="OSRRefP22_0x_0" localSheetId="48">'300'!$P$116:$P$125</definedName>
    <definedName name="OSRRefP22_0x_0" localSheetId="49">'300 &amp; 317'!$P$138:$P$147</definedName>
    <definedName name="OSRRefP22_0x_0" localSheetId="50">'301'!$P$20:$P$29</definedName>
    <definedName name="OSRRefP22_0x_0" localSheetId="51">'306'!$P$20:$P$23</definedName>
    <definedName name="OSRRefP22_0x_0" localSheetId="53">'307'!$P$42:$P$44</definedName>
    <definedName name="OSRRefP22_0x_0" localSheetId="54">'308'!$P$56:$P$64</definedName>
    <definedName name="OSRRefP22_0x_0" localSheetId="65">'309'!$P$20</definedName>
    <definedName name="OSRRefP22_0x_0" localSheetId="64">'310'!$P$31:$P$38</definedName>
    <definedName name="OSRRefP22_0x_0" localSheetId="72">'310 &amp; 491'!$P$34:$P$41</definedName>
    <definedName name="OSRRefP22_0x_0" localSheetId="55">'311'!$P$56:$P$64</definedName>
    <definedName name="OSRRefP22_0x_0" localSheetId="66">'313'!$P$25:$P$32</definedName>
    <definedName name="OSRRefP22_0x_0" localSheetId="58">'315'!$P$79:$P$86</definedName>
    <definedName name="OSRRefP22_0x_0" localSheetId="61">'316'!$P$31:$P$38</definedName>
    <definedName name="OSRRefP22_0x_0" localSheetId="63">'317'!$P$52:$P$60</definedName>
    <definedName name="OSRRefP22_0x_0" localSheetId="67">'321'!$P$23:$P$30</definedName>
    <definedName name="OSRRefP22_0x_0" localSheetId="68">'322'!$P$21:$P$25</definedName>
    <definedName name="OSRRefP22_0x_0" localSheetId="69">'325'!$P$24:$P$30</definedName>
    <definedName name="OSRRefP22_0x_0" localSheetId="59">'326'!$P$45:$P$52</definedName>
    <definedName name="OSRRefP22_0x_0" localSheetId="70">'327'!$P$24</definedName>
    <definedName name="OSRRefP22_0x_0" localSheetId="52">'330'!$P$45:$P$48</definedName>
    <definedName name="OSRRefP22_0x_0" localSheetId="57">'331'!$P$79:$P$86</definedName>
    <definedName name="OSRRefP22_0x_0" localSheetId="60">'332'!$P$33:$P$40</definedName>
    <definedName name="OSRRefP22_0x_0" localSheetId="74">'405'!$P$24:$P$31</definedName>
    <definedName name="OSRRefP22_0x_0" localSheetId="75">'406'!$P$20</definedName>
    <definedName name="OSRRefP22_0x_0" localSheetId="76">'411'!$P$20:$P$27</definedName>
    <definedName name="OSRRefP22_0x_0" localSheetId="77">'412'!$P$20</definedName>
    <definedName name="OSRRefP22_0x_0" localSheetId="78">'413'!$P$20:$P$24</definedName>
    <definedName name="OSRRefP22_0x_0" localSheetId="79">'414'!$P$21</definedName>
    <definedName name="OSRRefP22_0x_0" localSheetId="80">'415'!$P$24:$P$31</definedName>
    <definedName name="OSRRefP22_0x_0" localSheetId="81">'418'!$P$21:$P$28</definedName>
    <definedName name="OSRRefP22_0x_0" localSheetId="82">'423'!$P$20:$P$21</definedName>
    <definedName name="OSRRefP22_0x_0" localSheetId="83">'424'!$P$20</definedName>
    <definedName name="OSRRefP22_0x_0" localSheetId="84">'425'!$P$21:$P$25</definedName>
    <definedName name="OSRRefP22_0x_0" localSheetId="87">'430'!$P$20:$P$27</definedName>
    <definedName name="OSRRefP22_0x_0" localSheetId="88">'433'!$P$25:$P$33</definedName>
    <definedName name="OSRRefP22_0x_0" localSheetId="89">'435'!$P$20</definedName>
    <definedName name="OSRRefP22_0x_0" localSheetId="90">'444'!$P$25:$P$33</definedName>
    <definedName name="OSRRefP22_0x_0" localSheetId="91">'450'!$P$25:$P$33</definedName>
    <definedName name="OSRRefP22_0x_0" localSheetId="73">'491'!$P$25:$P$32</definedName>
    <definedName name="OSRRefP22_0x_0" localSheetId="86">'492'!$P$25:$P$33</definedName>
    <definedName name="OSRRefP22_0x_0" localSheetId="93">'501'!$P$21:$P$28</definedName>
    <definedName name="OSRRefP22_0x_0" localSheetId="39">'Div 2'!$P$20:$P$29</definedName>
    <definedName name="OSRRefP22_0x_0" localSheetId="47">'Div 3'!$P$121:$P$130</definedName>
    <definedName name="OSRRefP22_0x_0" localSheetId="71">'Div 4'!$P$27:$P$35</definedName>
    <definedName name="OSRRefP22_0x_0" localSheetId="92">'Div 5'!$P$21:$P$28</definedName>
    <definedName name="OSRRefP22_0x_0" localSheetId="62">'Div 6'!$P$52:$P$60</definedName>
    <definedName name="OSRRefP22_0x_0" localSheetId="2">Summary!$P$146:$P$155</definedName>
    <definedName name="OSRRefP22_10x_0" localSheetId="41">'201'!$P$50:$P$51</definedName>
    <definedName name="OSRRefP22_10x_0" localSheetId="42">'202'!$P$53</definedName>
    <definedName name="OSRRefP22_10x_0" localSheetId="43">'203'!$P$56</definedName>
    <definedName name="OSRRefP22_10x_0" localSheetId="48">'300'!$P$154</definedName>
    <definedName name="OSRRefP22_10x_0" localSheetId="49">'300 &amp; 317'!$P$176</definedName>
    <definedName name="OSRRefP22_10x_0" localSheetId="50">'301'!$P$56</definedName>
    <definedName name="OSRRefP22_10x_0" localSheetId="53">'307'!$P$68:$P$70</definedName>
    <definedName name="OSRRefP22_10x_0" localSheetId="54">'308'!$P$92</definedName>
    <definedName name="OSRRefP22_10x_0" localSheetId="64">'310'!$P$61:$P$62</definedName>
    <definedName name="OSRRefP22_10x_0" localSheetId="72">'310 &amp; 491'!$P$67</definedName>
    <definedName name="OSRRefP22_10x_0" localSheetId="55">'311'!$P$92</definedName>
    <definedName name="OSRRefP22_10x_0" localSheetId="58">'315'!$P$115:$P$117</definedName>
    <definedName name="OSRRefP22_10x_0" localSheetId="61">'316'!$P$66</definedName>
    <definedName name="OSRRefP22_10x_0" localSheetId="67">'321'!$P$57</definedName>
    <definedName name="OSRRefP22_10x_0" localSheetId="69">'325'!$P$54:$P$56</definedName>
    <definedName name="OSRRefP22_10x_0" localSheetId="59">'326'!$P$77:$P$78</definedName>
    <definedName name="OSRRefP22_10x_0" localSheetId="52">'330'!$P$73:$P$75</definedName>
    <definedName name="OSRRefP22_10x_0" localSheetId="57">'331'!$P$113</definedName>
    <definedName name="OSRRefP22_10x_0" localSheetId="60">'332'!$P$68</definedName>
    <definedName name="OSRRefP22_10x_0" localSheetId="74">'405'!$P$56:$P$57</definedName>
    <definedName name="OSRRefP22_10x_0" localSheetId="76">'411'!$P$54:$P$55</definedName>
    <definedName name="OSRRefP22_10x_0" localSheetId="80">'415'!$P$55:$P$56</definedName>
    <definedName name="OSRRefP22_10x_0" localSheetId="81">'418'!$P$53:$P$55</definedName>
    <definedName name="OSRRefP22_10x_0" localSheetId="88">'433'!$P$56:$P$57</definedName>
    <definedName name="OSRRefP22_10x_0" localSheetId="90">'444'!$P$57:$P$58</definedName>
    <definedName name="OSRRefP22_10x_0" localSheetId="91">'450'!$P$57</definedName>
    <definedName name="OSRRefP22_10x_0" localSheetId="73">'491'!$P$57</definedName>
    <definedName name="OSRRefP22_10x_0" localSheetId="86">'492'!$P$58</definedName>
    <definedName name="OSRRefP22_10x_0" localSheetId="39">'Div 2'!$P$55</definedName>
    <definedName name="OSRRefP22_10x_0" localSheetId="47">'Div 3'!$P$159</definedName>
    <definedName name="OSRRefP22_10x_0" localSheetId="71">'Div 4'!$P$61</definedName>
    <definedName name="OSRRefP22_10x_0" localSheetId="2">Summary!$P$183:$P$184</definedName>
    <definedName name="OSRRefP22_11x_0" localSheetId="41">'201'!$P$53</definedName>
    <definedName name="OSRRefP22_11x_0" localSheetId="42">'202'!$P$55</definedName>
    <definedName name="OSRRefP22_11x_0" localSheetId="43">'203'!$P$58</definedName>
    <definedName name="OSRRefP22_11x_0" localSheetId="48">'300'!$P$156</definedName>
    <definedName name="OSRRefP22_11x_0" localSheetId="49">'300 &amp; 317'!$P$178</definedName>
    <definedName name="OSRRefP22_11x_0" localSheetId="50">'301'!$P$58</definedName>
    <definedName name="OSRRefP22_11x_0" localSheetId="53">'307'!$P$72</definedName>
    <definedName name="OSRRefP22_11x_0" localSheetId="54">'308'!$P$94:$P$95</definedName>
    <definedName name="OSRRefP22_11x_0" localSheetId="64">'310'!$P$64:$P$66</definedName>
    <definedName name="OSRRefP22_11x_0" localSheetId="72">'310 &amp; 491'!$P$69</definedName>
    <definedName name="OSRRefP22_11x_0" localSheetId="55">'311'!$P$94:$P$95</definedName>
    <definedName name="OSRRefP22_11x_0" localSheetId="58">'315'!$P$119</definedName>
    <definedName name="OSRRefP22_11x_0" localSheetId="61">'316'!$P$68</definedName>
    <definedName name="OSRRefP22_11x_0" localSheetId="69">'325'!$P$58:$P$61</definedName>
    <definedName name="OSRRefP22_11x_0" localSheetId="59">'326'!$P$80</definedName>
    <definedName name="OSRRefP22_11x_0" localSheetId="52">'330'!$P$77</definedName>
    <definedName name="OSRRefP22_11x_0" localSheetId="57">'331'!$P$115:$P$116</definedName>
    <definedName name="OSRRefP22_11x_0" localSheetId="60">'332'!$P$70</definedName>
    <definedName name="OSRRefP22_11x_0" localSheetId="74">'405'!$P$59:$P$64</definedName>
    <definedName name="OSRRefP22_11x_0" localSheetId="76">'411'!$P$57:$P$58</definedName>
    <definedName name="OSRRefP22_11x_0" localSheetId="80">'415'!$P$58:$P$61</definedName>
    <definedName name="OSRRefP22_11x_0" localSheetId="81">'418'!$P$57</definedName>
    <definedName name="OSRRefP22_11x_0" localSheetId="88">'433'!$P$59:$P$61</definedName>
    <definedName name="OSRRefP22_11x_0" localSheetId="90">'444'!$P$60:$P$62</definedName>
    <definedName name="OSRRefP22_11x_0" localSheetId="91">'450'!$P$59</definedName>
    <definedName name="OSRRefP22_11x_0" localSheetId="73">'491'!$P$59</definedName>
    <definedName name="OSRRefP22_11x_0" localSheetId="86">'492'!$P$60</definedName>
    <definedName name="OSRRefP22_11x_0" localSheetId="39">'Div 2'!$P$57:$P$59</definedName>
    <definedName name="OSRRefP22_11x_0" localSheetId="47">'Div 3'!$P$161</definedName>
    <definedName name="OSRRefP22_11x_0" localSheetId="71">'Div 4'!$P$63</definedName>
    <definedName name="OSRRefP22_11x_0" localSheetId="2">Summary!$P$186</definedName>
    <definedName name="OSRRefP22_12x_0" localSheetId="48">'300'!$P$158:$P$159</definedName>
    <definedName name="OSRRefP22_12x_0" localSheetId="49">'300 &amp; 317'!$P$180:$P$181</definedName>
    <definedName name="OSRRefP22_12x_0" localSheetId="50">'301'!$P$60</definedName>
    <definedName name="OSRRefP22_12x_0" localSheetId="54">'308'!$P$97:$P$98</definedName>
    <definedName name="OSRRefP22_12x_0" localSheetId="64">'310'!$P$68:$P$72</definedName>
    <definedName name="OSRRefP22_12x_0" localSheetId="72">'310 &amp; 491'!$P$71</definedName>
    <definedName name="OSRRefP22_12x_0" localSheetId="55">'311'!$P$97:$P$98</definedName>
    <definedName name="OSRRefP22_12x_0" localSheetId="58">'315'!$P$121</definedName>
    <definedName name="OSRRefP22_12x_0" localSheetId="69">'325'!$P$63</definedName>
    <definedName name="OSRRefP22_12x_0" localSheetId="59">'326'!$P$82:$P$85</definedName>
    <definedName name="OSRRefP22_12x_0" localSheetId="57">'331'!$P$118:$P$119</definedName>
    <definedName name="OSRRefP22_12x_0" localSheetId="74">'405'!$P$66</definedName>
    <definedName name="OSRRefP22_12x_0" localSheetId="76">'411'!$P$60</definedName>
    <definedName name="OSRRefP22_12x_0" localSheetId="80">'415'!$P$63</definedName>
    <definedName name="OSRRefP22_12x_0" localSheetId="88">'433'!$P$63:$P$69</definedName>
    <definedName name="OSRRefP22_12x_0" localSheetId="90">'444'!$P$64:$P$70</definedName>
    <definedName name="OSRRefP22_12x_0" localSheetId="91">'450'!$P$61</definedName>
    <definedName name="OSRRefP22_12x_0" localSheetId="73">'491'!$P$61</definedName>
    <definedName name="OSRRefP22_12x_0" localSheetId="86">'492'!$P$62:$P$64</definedName>
    <definedName name="OSRRefP22_12x_0" localSheetId="39">'Div 2'!$P$61:$P$63</definedName>
    <definedName name="OSRRefP22_12x_0" localSheetId="47">'Div 3'!$P$163</definedName>
    <definedName name="OSRRefP22_12x_0" localSheetId="71">'Div 4'!$P$65</definedName>
    <definedName name="OSRRefP22_12x_0" localSheetId="2">Summary!$P$188</definedName>
    <definedName name="OSRRefP22_13x_0" localSheetId="48">'300'!$P$161</definedName>
    <definedName name="OSRRefP22_13x_0" localSheetId="49">'300 &amp; 317'!$P$183</definedName>
    <definedName name="OSRRefP22_13x_0" localSheetId="50">'301'!$P$62:$P$65</definedName>
    <definedName name="OSRRefP22_13x_0" localSheetId="54">'308'!$P$100</definedName>
    <definedName name="OSRRefP22_13x_0" localSheetId="64">'310'!$P$74</definedName>
    <definedName name="OSRRefP22_13x_0" localSheetId="72">'310 &amp; 491'!$P$73:$P$75</definedName>
    <definedName name="OSRRefP22_13x_0" localSheetId="55">'311'!$P$100</definedName>
    <definedName name="OSRRefP22_13x_0" localSheetId="69">'325'!$P$65</definedName>
    <definedName name="OSRRefP22_13x_0" localSheetId="59">'326'!$P$87</definedName>
    <definedName name="OSRRefP22_13x_0" localSheetId="57">'331'!$P$121:$P$122</definedName>
    <definedName name="OSRRefP22_13x_0" localSheetId="74">'405'!$P$68</definedName>
    <definedName name="OSRRefP22_13x_0" localSheetId="76">'411'!$P$62</definedName>
    <definedName name="OSRRefP22_13x_0" localSheetId="80">'415'!$P$65:$P$70</definedName>
    <definedName name="OSRRefP22_13x_0" localSheetId="88">'433'!$P$71</definedName>
    <definedName name="OSRRefP22_13x_0" localSheetId="90">'444'!$P$72</definedName>
    <definedName name="OSRRefP22_13x_0" localSheetId="91">'450'!$P$63:$P$64</definedName>
    <definedName name="OSRRefP22_13x_0" localSheetId="73">'491'!$P$63:$P$65</definedName>
    <definedName name="OSRRefP22_13x_0" localSheetId="86">'492'!$P$66:$P$68</definedName>
    <definedName name="OSRRefP22_13x_0" localSheetId="39">'Div 2'!$P$65</definedName>
    <definedName name="OSRRefP22_13x_0" localSheetId="47">'Div 3'!$P$165:$P$166</definedName>
    <definedName name="OSRRefP22_13x_0" localSheetId="71">'Div 4'!$P$67</definedName>
    <definedName name="OSRRefP22_13x_0" localSheetId="2">Summary!$P$190</definedName>
    <definedName name="OSRRefP22_14x_0" localSheetId="48">'300'!$P$163:$P$166</definedName>
    <definedName name="OSRRefP22_14x_0" localSheetId="49">'300 &amp; 317'!$P$185:$P$188</definedName>
    <definedName name="OSRRefP22_14x_0" localSheetId="50">'301'!$P$67:$P$69</definedName>
    <definedName name="OSRRefP22_14x_0" localSheetId="64">'310'!$P$76</definedName>
    <definedName name="OSRRefP22_14x_0" localSheetId="72">'310 &amp; 491'!$P$77:$P$80</definedName>
    <definedName name="OSRRefP22_14x_0" localSheetId="59">'326'!$P$89</definedName>
    <definedName name="OSRRefP22_14x_0" localSheetId="57">'331'!$P$124</definedName>
    <definedName name="OSRRefP22_14x_0" localSheetId="76">'411'!$P$64</definedName>
    <definedName name="OSRRefP22_14x_0" localSheetId="80">'415'!$P$72</definedName>
    <definedName name="OSRRefP22_14x_0" localSheetId="90">'444'!$P$74</definedName>
    <definedName name="OSRRefP22_14x_0" localSheetId="91">'450'!$P$66:$P$70</definedName>
    <definedName name="OSRRefP22_14x_0" localSheetId="73">'491'!$P$67:$P$70</definedName>
    <definedName name="OSRRefP22_14x_0" localSheetId="86">'492'!$P$70:$P$77</definedName>
    <definedName name="OSRRefP22_14x_0" localSheetId="39">'Div 2'!$P$67</definedName>
    <definedName name="OSRRefP22_14x_0" localSheetId="47">'Div 3'!$P$168</definedName>
    <definedName name="OSRRefP22_14x_0" localSheetId="71">'Div 4'!$P$69</definedName>
    <definedName name="OSRRefP22_14x_0" localSheetId="2">Summary!$P$192:$P$193</definedName>
    <definedName name="OSRRefP22_15x_0" localSheetId="48">'300'!$P$168:$P$170</definedName>
    <definedName name="OSRRefP22_15x_0" localSheetId="49">'300 &amp; 317'!$P$190:$P$192</definedName>
    <definedName name="OSRRefP22_15x_0" localSheetId="50">'301'!$P$71</definedName>
    <definedName name="OSRRefP22_15x_0" localSheetId="72">'310 &amp; 491'!$P$82</definedName>
    <definedName name="OSRRefP22_15x_0" localSheetId="59">'326'!$P$91</definedName>
    <definedName name="OSRRefP22_15x_0" localSheetId="57">'331'!$P$126:$P$129</definedName>
    <definedName name="OSRRefP22_15x_0" localSheetId="80">'415'!$P$74</definedName>
    <definedName name="OSRRefP22_15x_0" localSheetId="91">'450'!$P$72</definedName>
    <definedName name="OSRRefP22_15x_0" localSheetId="73">'491'!$P$72</definedName>
    <definedName name="OSRRefP22_15x_0" localSheetId="86">'492'!$P$79</definedName>
    <definedName name="OSRRefP22_15x_0" localSheetId="39">'Div 2'!$P$69:$P$73</definedName>
    <definedName name="OSRRefP22_15x_0" localSheetId="47">'Div 3'!$P$170:$P$173</definedName>
    <definedName name="OSRRefP22_15x_0" localSheetId="71">'Div 4'!$P$71:$P$73</definedName>
    <definedName name="OSRRefP22_15x_0" localSheetId="2">Summary!$P$195</definedName>
    <definedName name="OSRRefP22_16x_0" localSheetId="48">'300'!$P$172:$P$175</definedName>
    <definedName name="OSRRefP22_16x_0" localSheetId="49">'300 &amp; 317'!$P$194:$P$197</definedName>
    <definedName name="OSRRefP22_16x_0" localSheetId="50">'301'!$P$73:$P$77</definedName>
    <definedName name="OSRRefP22_16x_0" localSheetId="72">'310 &amp; 491'!$P$84:$P$90</definedName>
    <definedName name="OSRRefP22_16x_0" localSheetId="57">'331'!$P$131</definedName>
    <definedName name="OSRRefP22_16x_0" localSheetId="91">'450'!$P$74</definedName>
    <definedName name="OSRRefP22_16x_0" localSheetId="73">'491'!$P$74:$P$80</definedName>
    <definedName name="OSRRefP22_16x_0" localSheetId="86">'492'!$P$81</definedName>
    <definedName name="OSRRefP22_16x_0" localSheetId="39">'Div 2'!$P$75:$P$76</definedName>
    <definedName name="OSRRefP22_16x_0" localSheetId="47">'Div 3'!$P$175:$P$177</definedName>
    <definedName name="OSRRefP22_16x_0" localSheetId="71">'Div 4'!$P$75:$P$78</definedName>
    <definedName name="OSRRefP22_16x_0" localSheetId="2">Summary!$P$197</definedName>
    <definedName name="OSRRefP22_17x_0" localSheetId="48">'300'!$P$177:$P$178</definedName>
    <definedName name="OSRRefP22_17x_0" localSheetId="49">'300 &amp; 317'!$P$199:$P$200</definedName>
    <definedName name="OSRRefP22_17x_0" localSheetId="50">'301'!$P$79</definedName>
    <definedName name="OSRRefP22_17x_0" localSheetId="72">'310 &amp; 491'!$P$92</definedName>
    <definedName name="OSRRefP22_17x_0" localSheetId="57">'331'!$P$133</definedName>
    <definedName name="OSRRefP22_17x_0" localSheetId="73">'491'!$P$82</definedName>
    <definedName name="OSRRefP22_17x_0" localSheetId="86">'492'!$P$83:$P$84</definedName>
    <definedName name="OSRRefP22_17x_0" localSheetId="39">'Div 2'!$P$78</definedName>
    <definedName name="OSRRefP22_17x_0" localSheetId="47">'Div 3'!$P$179:$P$183</definedName>
    <definedName name="OSRRefP22_17x_0" localSheetId="71">'Div 4'!$P$80</definedName>
    <definedName name="OSRRefP22_17x_0" localSheetId="2">Summary!$P$199:$P$202</definedName>
    <definedName name="OSRRefP22_18x_0" localSheetId="48">'300'!$P$180:$P$185</definedName>
    <definedName name="OSRRefP22_18x_0" localSheetId="49">'300 &amp; 317'!$P$202:$P$207</definedName>
    <definedName name="OSRRefP22_18x_0" localSheetId="50">'301'!$P$81</definedName>
    <definedName name="OSRRefP22_18x_0" localSheetId="72">'310 &amp; 491'!$P$94</definedName>
    <definedName name="OSRRefP22_18x_0" localSheetId="57">'331'!$P$135</definedName>
    <definedName name="OSRRefP22_18x_0" localSheetId="73">'491'!$P$84</definedName>
    <definedName name="OSRRefP22_18x_0" localSheetId="39">'Div 2'!$P$80</definedName>
    <definedName name="OSRRefP22_18x_0" localSheetId="47">'Div 3'!$P$185:$P$186</definedName>
    <definedName name="OSRRefP22_18x_0" localSheetId="71">'Div 4'!$P$82:$P$89</definedName>
    <definedName name="OSRRefP22_18x_0" localSheetId="2">Summary!$P$204:$P$206</definedName>
    <definedName name="OSRRefP22_19x_0" localSheetId="48">'300'!$P$187:$P$188</definedName>
    <definedName name="OSRRefP22_19x_0" localSheetId="49">'300 &amp; 317'!$P$209:$P$210</definedName>
    <definedName name="OSRRefP22_19x_0" localSheetId="50">'301'!$P$83:$P$84</definedName>
    <definedName name="OSRRefP22_19x_0" localSheetId="72">'310 &amp; 491'!$P$96</definedName>
    <definedName name="OSRRefP22_19x_0" localSheetId="73">'491'!$P$86</definedName>
    <definedName name="OSRRefP22_19x_0" localSheetId="47">'Div 3'!$P$188:$P$194</definedName>
    <definedName name="OSRRefP22_19x_0" localSheetId="71">'Div 4'!$P$91</definedName>
    <definedName name="OSRRefP22_19x_0" localSheetId="2">Summary!$P$208:$P$212</definedName>
    <definedName name="OSRRefP22_1x_0" localSheetId="40">'200'!$P$22</definedName>
    <definedName name="OSRRefP22_1x_0" localSheetId="41">'201'!$P$29:$P$30</definedName>
    <definedName name="OSRRefP22_1x_0" localSheetId="42">'202'!$P$29:$P$31</definedName>
    <definedName name="OSRRefP22_1x_0" localSheetId="43">'203'!$P$30:$P$33</definedName>
    <definedName name="OSRRefP22_1x_0" localSheetId="44">'204'!$P$30:$P$32</definedName>
    <definedName name="OSRRefP22_1x_0" localSheetId="45">'205'!$P$29</definedName>
    <definedName name="OSRRefP22_1x_0" localSheetId="46">'206'!$P$28:$P$30</definedName>
    <definedName name="OSRRefP22_1x_0" localSheetId="48">'300'!$P$127:$P$133</definedName>
    <definedName name="OSRRefP22_1x_0" localSheetId="49">'300 &amp; 317'!$P$149:$P$155</definedName>
    <definedName name="OSRRefP22_1x_0" localSheetId="50">'301'!$P$31:$P$37</definedName>
    <definedName name="OSRRefP22_1x_0" localSheetId="51">'306'!$P$25:$P$26</definedName>
    <definedName name="OSRRefP22_1x_0" localSheetId="53">'307'!$P$46:$P$47</definedName>
    <definedName name="OSRRefP22_1x_0" localSheetId="54">'308'!$P$66:$P$72</definedName>
    <definedName name="OSRRefP22_1x_0" localSheetId="65">'309'!$P$22:$P$23</definedName>
    <definedName name="OSRRefP22_1x_0" localSheetId="64">'310'!$P$40:$P$42</definedName>
    <definedName name="OSRRefP22_1x_0" localSheetId="72">'310 &amp; 491'!$P$43:$P$47</definedName>
    <definedName name="OSRRefP22_1x_0" localSheetId="55">'311'!$P$66:$P$72</definedName>
    <definedName name="OSRRefP22_1x_0" localSheetId="66">'313'!$P$34</definedName>
    <definedName name="OSRRefP22_1x_0" localSheetId="58">'315'!$P$88:$P$92</definedName>
    <definedName name="OSRRefP22_1x_0" localSheetId="61">'316'!$P$40:$P$42</definedName>
    <definedName name="OSRRefP22_1x_0" localSheetId="63">'317'!$P$62:$P$66</definedName>
    <definedName name="OSRRefP22_1x_0" localSheetId="67">'321'!$P$32:$P$34</definedName>
    <definedName name="OSRRefP22_1x_0" localSheetId="68">'322'!$P$27</definedName>
    <definedName name="OSRRefP22_1x_0" localSheetId="69">'325'!$P$32:$P$34</definedName>
    <definedName name="OSRRefP22_1x_0" localSheetId="59">'326'!$P$54:$P$58</definedName>
    <definedName name="OSRRefP22_1x_0" localSheetId="52">'330'!$P$50:$P$51</definedName>
    <definedName name="OSRRefP22_1x_0" localSheetId="57">'331'!$P$88:$P$92</definedName>
    <definedName name="OSRRefP22_1x_0" localSheetId="60">'332'!$P$42:$P$44</definedName>
    <definedName name="OSRRefP22_1x_0" localSheetId="74">'405'!$P$33:$P$36</definedName>
    <definedName name="OSRRefP22_1x_0" localSheetId="75">'406'!$P$22</definedName>
    <definedName name="OSRRefP22_1x_0" localSheetId="76">'411'!$P$29:$P$33</definedName>
    <definedName name="OSRRefP22_1x_0" localSheetId="77">'412'!$P$22</definedName>
    <definedName name="OSRRefP22_1x_0" localSheetId="78">'413'!$P$26</definedName>
    <definedName name="OSRRefP22_1x_0" localSheetId="79">'414'!$P$23</definedName>
    <definedName name="OSRRefP22_1x_0" localSheetId="80">'415'!$P$33:$P$36</definedName>
    <definedName name="OSRRefP22_1x_0" localSheetId="81">'418'!$P$30:$P$33</definedName>
    <definedName name="OSRRefP22_1x_0" localSheetId="82">'423'!$P$23</definedName>
    <definedName name="OSRRefP22_1x_0" localSheetId="83">'424'!$P$22</definedName>
    <definedName name="OSRRefP22_1x_0" localSheetId="84">'425'!$P$27</definedName>
    <definedName name="OSRRefP22_1x_0" localSheetId="87">'430'!$P$29</definedName>
    <definedName name="OSRRefP22_1x_0" localSheetId="88">'433'!$P$35:$P$38</definedName>
    <definedName name="OSRRefP22_1x_0" localSheetId="90">'444'!$P$35:$P$39</definedName>
    <definedName name="OSRRefP22_1x_0" localSheetId="91">'450'!$P$35:$P$39</definedName>
    <definedName name="OSRRefP22_1x_0" localSheetId="73">'491'!$P$34:$P$38</definedName>
    <definedName name="OSRRefP22_1x_0" localSheetId="86">'492'!$P$35:$P$40</definedName>
    <definedName name="OSRRefP22_1x_0" localSheetId="93">'501'!$P$30:$P$35</definedName>
    <definedName name="OSRRefP22_1x_0" localSheetId="39">'Div 2'!$P$31:$P$36</definedName>
    <definedName name="OSRRefP22_1x_0" localSheetId="47">'Div 3'!$P$132:$P$138</definedName>
    <definedName name="OSRRefP22_1x_0" localSheetId="71">'Div 4'!$P$37:$P$42</definedName>
    <definedName name="OSRRefP22_1x_0" localSheetId="92">'Div 5'!$P$30:$P$35</definedName>
    <definedName name="OSRRefP22_1x_0" localSheetId="62">'Div 6'!$P$62:$P$66</definedName>
    <definedName name="OSRRefP22_1x_0" localSheetId="2">Summary!$P$157:$P$163</definedName>
    <definedName name="OSRRefP22_20x_0" localSheetId="48">'300'!$P$190</definedName>
    <definedName name="OSRRefP22_20x_0" localSheetId="49">'300 &amp; 317'!$P$212</definedName>
    <definedName name="OSRRefP22_20x_0" localSheetId="50">'301'!$P$86</definedName>
    <definedName name="OSRRefP22_20x_0" localSheetId="47">'Div 3'!$P$196:$P$197</definedName>
    <definedName name="OSRRefP22_20x_0" localSheetId="71">'Div 4'!$P$93</definedName>
    <definedName name="OSRRefP22_20x_0" localSheetId="2">Summary!$P$214:$P$215</definedName>
    <definedName name="OSRRefP22_21x_0" localSheetId="48">'300'!$P$192:$P$194</definedName>
    <definedName name="OSRRefP22_21x_0" localSheetId="49">'300 &amp; 317'!$P$214:$P$216</definedName>
    <definedName name="OSRRefP22_21x_0" localSheetId="47">'Div 3'!$P$199</definedName>
    <definedName name="OSRRefP22_21x_0" localSheetId="71">'Div 4'!$P$95:$P$96</definedName>
    <definedName name="OSRRefP22_21x_0" localSheetId="2">Summary!$P$217:$P$225</definedName>
    <definedName name="OSRRefP22_22x_0" localSheetId="48">'300'!$P$196</definedName>
    <definedName name="OSRRefP22_22x_0" localSheetId="49">'300 &amp; 317'!$P$218</definedName>
    <definedName name="OSRRefP22_22x_0" localSheetId="47">'Div 3'!$P$201:$P$203</definedName>
    <definedName name="OSRRefP22_22x_0" localSheetId="71">'Div 4'!$P$98</definedName>
    <definedName name="OSRRefP22_22x_0" localSheetId="2">Summary!$P$227:$P$228</definedName>
    <definedName name="OSRRefP22_23x_0" localSheetId="47">'Div 3'!$P$205</definedName>
    <definedName name="OSRRefP22_23x_0" localSheetId="2">Summary!$P$230</definedName>
    <definedName name="OSRRefP22_24x_0" localSheetId="2">Summary!$P$232:$P$234</definedName>
    <definedName name="OSRRefP22_25x_0" localSheetId="2">Summary!$P$236</definedName>
    <definedName name="OSRRefP22_2x_0" localSheetId="40">'200'!$P$24</definedName>
    <definedName name="OSRRefP22_2x_0" localSheetId="41">'201'!$P$32</definedName>
    <definedName name="OSRRefP22_2x_0" localSheetId="42">'202'!$P$33</definedName>
    <definedName name="OSRRefP22_2x_0" localSheetId="43">'203'!$P$35</definedName>
    <definedName name="OSRRefP22_2x_0" localSheetId="44">'204'!$P$34</definedName>
    <definedName name="OSRRefP22_2x_0" localSheetId="45">'205'!$P$31</definedName>
    <definedName name="OSRRefP22_2x_0" localSheetId="46">'206'!$P$32</definedName>
    <definedName name="OSRRefP22_2x_0" localSheetId="48">'300'!$P$135</definedName>
    <definedName name="OSRRefP22_2x_0" localSheetId="49">'300 &amp; 317'!$P$157</definedName>
    <definedName name="OSRRefP22_2x_0" localSheetId="50">'301'!$P$39</definedName>
    <definedName name="OSRRefP22_2x_0" localSheetId="51">'306'!$P$28</definedName>
    <definedName name="OSRRefP22_2x_0" localSheetId="53">'307'!$P$49</definedName>
    <definedName name="OSRRefP22_2x_0" localSheetId="54">'308'!$P$74</definedName>
    <definedName name="OSRRefP22_2x_0" localSheetId="65">'309'!$P$25:$P$26</definedName>
    <definedName name="OSRRefP22_2x_0" localSheetId="64">'310'!$P$44</definedName>
    <definedName name="OSRRefP22_2x_0" localSheetId="72">'310 &amp; 491'!$P$49</definedName>
    <definedName name="OSRRefP22_2x_0" localSheetId="55">'311'!$P$74</definedName>
    <definedName name="OSRRefP22_2x_0" localSheetId="66">'313'!$P$36</definedName>
    <definedName name="OSRRefP22_2x_0" localSheetId="58">'315'!$P$94</definedName>
    <definedName name="OSRRefP22_2x_0" localSheetId="61">'316'!$P$44</definedName>
    <definedName name="OSRRefP22_2x_0" localSheetId="63">'317'!$P$68</definedName>
    <definedName name="OSRRefP22_2x_0" localSheetId="67">'321'!$P$36</definedName>
    <definedName name="OSRRefP22_2x_0" localSheetId="68">'322'!$P$29</definedName>
    <definedName name="OSRRefP22_2x_0" localSheetId="69">'325'!$P$36</definedName>
    <definedName name="OSRRefP22_2x_0" localSheetId="59">'326'!$P$60</definedName>
    <definedName name="OSRRefP22_2x_0" localSheetId="52">'330'!$P$53</definedName>
    <definedName name="OSRRefP22_2x_0" localSheetId="57">'331'!$P$94</definedName>
    <definedName name="OSRRefP22_2x_0" localSheetId="60">'332'!$P$46</definedName>
    <definedName name="OSRRefP22_2x_0" localSheetId="74">'405'!$P$38</definedName>
    <definedName name="OSRRefP22_2x_0" localSheetId="75">'406'!$P$24</definedName>
    <definedName name="OSRRefP22_2x_0" localSheetId="76">'411'!$P$35</definedName>
    <definedName name="OSRRefP22_2x_0" localSheetId="77">'412'!$P$24</definedName>
    <definedName name="OSRRefP22_2x_0" localSheetId="78">'413'!$P$28</definedName>
    <definedName name="OSRRefP22_2x_0" localSheetId="79">'414'!$P$25</definedName>
    <definedName name="OSRRefP22_2x_0" localSheetId="80">'415'!$P$38</definedName>
    <definedName name="OSRRefP22_2x_0" localSheetId="81">'418'!$P$35</definedName>
    <definedName name="OSRRefP22_2x_0" localSheetId="82">'423'!$P$25</definedName>
    <definedName name="OSRRefP22_2x_0" localSheetId="83">'424'!$P$24</definedName>
    <definedName name="OSRRefP22_2x_0" localSheetId="84">'425'!$P$29</definedName>
    <definedName name="OSRRefP22_2x_0" localSheetId="87">'430'!$P$31</definedName>
    <definedName name="OSRRefP22_2x_0" localSheetId="88">'433'!$P$40</definedName>
    <definedName name="OSRRefP22_2x_0" localSheetId="90">'444'!$P$41</definedName>
    <definedName name="OSRRefP22_2x_0" localSheetId="91">'450'!$P$41</definedName>
    <definedName name="OSRRefP22_2x_0" localSheetId="73">'491'!$P$40</definedName>
    <definedName name="OSRRefP22_2x_0" localSheetId="86">'492'!$P$42</definedName>
    <definedName name="OSRRefP22_2x_0" localSheetId="93">'501'!$P$37</definedName>
    <definedName name="OSRRefP22_2x_0" localSheetId="39">'Div 2'!$P$38</definedName>
    <definedName name="OSRRefP22_2x_0" localSheetId="47">'Div 3'!$P$140</definedName>
    <definedName name="OSRRefP22_2x_0" localSheetId="71">'Div 4'!$P$44</definedName>
    <definedName name="OSRRefP22_2x_0" localSheetId="92">'Div 5'!$P$37</definedName>
    <definedName name="OSRRefP22_2x_0" localSheetId="62">'Div 6'!$P$68</definedName>
    <definedName name="OSRRefP22_2x_0" localSheetId="2">Summary!$P$165</definedName>
    <definedName name="OSRRefP22_3x_0" localSheetId="40">'200'!$P$26</definedName>
    <definedName name="OSRRefP22_3x_0" localSheetId="41">'201'!$P$34</definedName>
    <definedName name="OSRRefP22_3x_0" localSheetId="42">'202'!$P$35</definedName>
    <definedName name="OSRRefP22_3x_0" localSheetId="43">'203'!$P$37</definedName>
    <definedName name="OSRRefP22_3x_0" localSheetId="44">'204'!$P$36</definedName>
    <definedName name="OSRRefP22_3x_0" localSheetId="45">'205'!$P$33:$P$34</definedName>
    <definedName name="OSRRefP22_3x_0" localSheetId="46">'206'!$P$34</definedName>
    <definedName name="OSRRefP22_3x_0" localSheetId="48">'300'!$P$137</definedName>
    <definedName name="OSRRefP22_3x_0" localSheetId="49">'300 &amp; 317'!$P$159</definedName>
    <definedName name="OSRRefP22_3x_0" localSheetId="50">'301'!$P$41</definedName>
    <definedName name="OSRRefP22_3x_0" localSheetId="51">'306'!$P$30</definedName>
    <definedName name="OSRRefP22_3x_0" localSheetId="53">'307'!$P$51</definedName>
    <definedName name="OSRRefP22_3x_0" localSheetId="54">'308'!$P$76</definedName>
    <definedName name="OSRRefP22_3x_0" localSheetId="65">'309'!$P$28</definedName>
    <definedName name="OSRRefP22_3x_0" localSheetId="64">'310'!$P$46</definedName>
    <definedName name="OSRRefP22_3x_0" localSheetId="72">'310 &amp; 491'!$P$51</definedName>
    <definedName name="OSRRefP22_3x_0" localSheetId="55">'311'!$P$76</definedName>
    <definedName name="OSRRefP22_3x_0" localSheetId="66">'313'!$P$38</definedName>
    <definedName name="OSRRefP22_3x_0" localSheetId="58">'315'!$P$96:$P$97</definedName>
    <definedName name="OSRRefP22_3x_0" localSheetId="61">'316'!$P$46</definedName>
    <definedName name="OSRRefP22_3x_0" localSheetId="63">'317'!$P$70</definedName>
    <definedName name="OSRRefP22_3x_0" localSheetId="67">'321'!$P$38</definedName>
    <definedName name="OSRRefP22_3x_0" localSheetId="68">'322'!$P$31</definedName>
    <definedName name="OSRRefP22_3x_0" localSheetId="69">'325'!$P$38</definedName>
    <definedName name="OSRRefP22_3x_0" localSheetId="59">'326'!$P$62</definedName>
    <definedName name="OSRRefP22_3x_0" localSheetId="52">'330'!$P$55</definedName>
    <definedName name="OSRRefP22_3x_0" localSheetId="57">'331'!$P$96</definedName>
    <definedName name="OSRRefP22_3x_0" localSheetId="60">'332'!$P$48</definedName>
    <definedName name="OSRRefP22_3x_0" localSheetId="74">'405'!$P$40</definedName>
    <definedName name="OSRRefP22_3x_0" localSheetId="75">'406'!$P$26</definedName>
    <definedName name="OSRRefP22_3x_0" localSheetId="76">'411'!$P$37:$P$38</definedName>
    <definedName name="OSRRefP22_3x_0" localSheetId="77">'412'!$P$26</definedName>
    <definedName name="OSRRefP22_3x_0" localSheetId="78">'413'!$P$30</definedName>
    <definedName name="OSRRefP22_3x_0" localSheetId="79">'414'!$P$27</definedName>
    <definedName name="OSRRefP22_3x_0" localSheetId="80">'415'!$P$40</definedName>
    <definedName name="OSRRefP22_3x_0" localSheetId="81">'418'!$P$37</definedName>
    <definedName name="OSRRefP22_3x_0" localSheetId="82">'423'!$P$27</definedName>
    <definedName name="OSRRefP22_3x_0" localSheetId="83">'424'!$P$26</definedName>
    <definedName name="OSRRefP22_3x_0" localSheetId="84">'425'!$P$31</definedName>
    <definedName name="OSRRefP22_3x_0" localSheetId="87">'430'!$P$33</definedName>
    <definedName name="OSRRefP22_3x_0" localSheetId="88">'433'!$P$42</definedName>
    <definedName name="OSRRefP22_3x_0" localSheetId="90">'444'!$P$43</definedName>
    <definedName name="OSRRefP22_3x_0" localSheetId="91">'450'!$P$43</definedName>
    <definedName name="OSRRefP22_3x_0" localSheetId="73">'491'!$P$42</definedName>
    <definedName name="OSRRefP22_3x_0" localSheetId="86">'492'!$P$44</definedName>
    <definedName name="OSRRefP22_3x_0" localSheetId="93">'501'!$P$39</definedName>
    <definedName name="OSRRefP22_3x_0" localSheetId="39">'Div 2'!$P$40</definedName>
    <definedName name="OSRRefP22_3x_0" localSheetId="47">'Div 3'!$P$142</definedName>
    <definedName name="OSRRefP22_3x_0" localSheetId="71">'Div 4'!$P$46</definedName>
    <definedName name="OSRRefP22_3x_0" localSheetId="92">'Div 5'!$P$39</definedName>
    <definedName name="OSRRefP22_3x_0" localSheetId="62">'Div 6'!$P$70</definedName>
    <definedName name="OSRRefP22_3x_0" localSheetId="2">Summary!$P$167</definedName>
    <definedName name="OSRRefP22_4x_0" localSheetId="41">'201'!$P$36</definedName>
    <definedName name="OSRRefP22_4x_0" localSheetId="42">'202'!$P$37:$P$38</definedName>
    <definedName name="OSRRefP22_4x_0" localSheetId="43">'203'!$P$39</definedName>
    <definedName name="OSRRefP22_4x_0" localSheetId="44">'204'!$P$38:$P$40</definedName>
    <definedName name="OSRRefP22_4x_0" localSheetId="45">'205'!$P$36:$P$37</definedName>
    <definedName name="OSRRefP22_4x_0" localSheetId="46">'206'!$P$36</definedName>
    <definedName name="OSRRefP22_4x_0" localSheetId="48">'300'!$P$139</definedName>
    <definedName name="OSRRefP22_4x_0" localSheetId="49">'300 &amp; 317'!$P$161</definedName>
    <definedName name="OSRRefP22_4x_0" localSheetId="50">'301'!$P$43</definedName>
    <definedName name="OSRRefP22_4x_0" localSheetId="51">'306'!$P$32</definedName>
    <definedName name="OSRRefP22_4x_0" localSheetId="53">'307'!$P$53:$P$54</definedName>
    <definedName name="OSRRefP22_4x_0" localSheetId="54">'308'!$P$78</definedName>
    <definedName name="OSRRefP22_4x_0" localSheetId="64">'310'!$P$48</definedName>
    <definedName name="OSRRefP22_4x_0" localSheetId="72">'310 &amp; 491'!$P$53</definedName>
    <definedName name="OSRRefP22_4x_0" localSheetId="55">'311'!$P$78</definedName>
    <definedName name="OSRRefP22_4x_0" localSheetId="66">'313'!$P$40</definedName>
    <definedName name="OSRRefP22_4x_0" localSheetId="58">'315'!$P$99</definedName>
    <definedName name="OSRRefP22_4x_0" localSheetId="61">'316'!$P$48</definedName>
    <definedName name="OSRRefP22_4x_0" localSheetId="63">'317'!$P$72</definedName>
    <definedName name="OSRRefP22_4x_0" localSheetId="67">'321'!$P$40</definedName>
    <definedName name="OSRRefP22_4x_0" localSheetId="68">'322'!$P$33:$P$34</definedName>
    <definedName name="OSRRefP22_4x_0" localSheetId="69">'325'!$P$40</definedName>
    <definedName name="OSRRefP22_4x_0" localSheetId="59">'326'!$P$64</definedName>
    <definedName name="OSRRefP22_4x_0" localSheetId="52">'330'!$P$57:$P$58</definedName>
    <definedName name="OSRRefP22_4x_0" localSheetId="57">'331'!$P$98</definedName>
    <definedName name="OSRRefP22_4x_0" localSheetId="60">'332'!$P$50</definedName>
    <definedName name="OSRRefP22_4x_0" localSheetId="74">'405'!$P$42</definedName>
    <definedName name="OSRRefP22_4x_0" localSheetId="75">'406'!$P$28</definedName>
    <definedName name="OSRRefP22_4x_0" localSheetId="76">'411'!$P$40</definedName>
    <definedName name="OSRRefP22_4x_0" localSheetId="77">'412'!$P$28</definedName>
    <definedName name="OSRRefP22_4x_0" localSheetId="78">'413'!$P$32</definedName>
    <definedName name="OSRRefP22_4x_0" localSheetId="79">'414'!$P$29:$P$30</definedName>
    <definedName name="OSRRefP22_4x_0" localSheetId="80">'415'!$P$42</definedName>
    <definedName name="OSRRefP22_4x_0" localSheetId="81">'418'!$P$39:$P$40</definedName>
    <definedName name="OSRRefP22_4x_0" localSheetId="84">'425'!$P$33</definedName>
    <definedName name="OSRRefP22_4x_0" localSheetId="87">'430'!$P$35:$P$36</definedName>
    <definedName name="OSRRefP22_4x_0" localSheetId="88">'433'!$P$44</definedName>
    <definedName name="OSRRefP22_4x_0" localSheetId="90">'444'!$P$45</definedName>
    <definedName name="OSRRefP22_4x_0" localSheetId="91">'450'!$P$45</definedName>
    <definedName name="OSRRefP22_4x_0" localSheetId="73">'491'!$P$44</definedName>
    <definedName name="OSRRefP22_4x_0" localSheetId="86">'492'!$P$46</definedName>
    <definedName name="OSRRefP22_4x_0" localSheetId="93">'501'!$P$41:$P$42</definedName>
    <definedName name="OSRRefP22_4x_0" localSheetId="39">'Div 2'!$P$42</definedName>
    <definedName name="OSRRefP22_4x_0" localSheetId="47">'Div 3'!$P$144</definedName>
    <definedName name="OSRRefP22_4x_0" localSheetId="71">'Div 4'!$P$48</definedName>
    <definedName name="OSRRefP22_4x_0" localSheetId="92">'Div 5'!$P$41:$P$42</definedName>
    <definedName name="OSRRefP22_4x_0" localSheetId="62">'Div 6'!$P$72</definedName>
    <definedName name="OSRRefP22_4x_0" localSheetId="2">Summary!$P$169</definedName>
    <definedName name="OSRRefP22_5x_0" localSheetId="41">'201'!$P$38</definedName>
    <definedName name="OSRRefP22_5x_0" localSheetId="42">'202'!$P$40</definedName>
    <definedName name="OSRRefP22_5x_0" localSheetId="43">'203'!$P$41</definedName>
    <definedName name="OSRRefP22_5x_0" localSheetId="44">'204'!$P$42</definedName>
    <definedName name="OSRRefP22_5x_0" localSheetId="45">'205'!$P$39</definedName>
    <definedName name="OSRRefP22_5x_0" localSheetId="46">'206'!$P$38</definedName>
    <definedName name="OSRRefP22_5x_0" localSheetId="48">'300'!$P$141:$P$142</definedName>
    <definedName name="OSRRefP22_5x_0" localSheetId="49">'300 &amp; 317'!$P$163:$P$164</definedName>
    <definedName name="OSRRefP22_5x_0" localSheetId="50">'301'!$P$45:$P$46</definedName>
    <definedName name="OSRRefP22_5x_0" localSheetId="51">'306'!$P$34</definedName>
    <definedName name="OSRRefP22_5x_0" localSheetId="53">'307'!$P$56</definedName>
    <definedName name="OSRRefP22_5x_0" localSheetId="54">'308'!$P$80</definedName>
    <definedName name="OSRRefP22_5x_0" localSheetId="64">'310'!$P$50:$P$51</definedName>
    <definedName name="OSRRefP22_5x_0" localSheetId="72">'310 &amp; 491'!$P$55:$P$56</definedName>
    <definedName name="OSRRefP22_5x_0" localSheetId="55">'311'!$P$80</definedName>
    <definedName name="OSRRefP22_5x_0" localSheetId="66">'313'!$P$42</definedName>
    <definedName name="OSRRefP22_5x_0" localSheetId="58">'315'!$P$101:$P$102</definedName>
    <definedName name="OSRRefP22_5x_0" localSheetId="61">'316'!$P$50:$P$51</definedName>
    <definedName name="OSRRefP22_5x_0" localSheetId="63">'317'!$P$74:$P$75</definedName>
    <definedName name="OSRRefP22_5x_0" localSheetId="67">'321'!$P$42</definedName>
    <definedName name="OSRRefP22_5x_0" localSheetId="68">'322'!$P$36</definedName>
    <definedName name="OSRRefP22_5x_0" localSheetId="69">'325'!$P$42:$P$43</definedName>
    <definedName name="OSRRefP22_5x_0" localSheetId="59">'326'!$P$66</definedName>
    <definedName name="OSRRefP22_5x_0" localSheetId="52">'330'!$P$60:$P$61</definedName>
    <definedName name="OSRRefP22_5x_0" localSheetId="57">'331'!$P$100:$P$101</definedName>
    <definedName name="OSRRefP22_5x_0" localSheetId="60">'332'!$P$52:$P$53</definedName>
    <definedName name="OSRRefP22_5x_0" localSheetId="74">'405'!$P$44:$P$45</definedName>
    <definedName name="OSRRefP22_5x_0" localSheetId="76">'411'!$P$42</definedName>
    <definedName name="OSRRefP22_5x_0" localSheetId="78">'413'!$P$34</definedName>
    <definedName name="OSRRefP22_5x_0" localSheetId="80">'415'!$P$44:$P$45</definedName>
    <definedName name="OSRRefP22_5x_0" localSheetId="81">'418'!$P$42</definedName>
    <definedName name="OSRRefP22_5x_0" localSheetId="87">'430'!$P$38</definedName>
    <definedName name="OSRRefP22_5x_0" localSheetId="88">'433'!$P$46</definedName>
    <definedName name="OSRRefP22_5x_0" localSheetId="90">'444'!$P$47</definedName>
    <definedName name="OSRRefP22_5x_0" localSheetId="91">'450'!$P$47</definedName>
    <definedName name="OSRRefP22_5x_0" localSheetId="73">'491'!$P$46:$P$47</definedName>
    <definedName name="OSRRefP22_5x_0" localSheetId="86">'492'!$P$48</definedName>
    <definedName name="OSRRefP22_5x_0" localSheetId="93">'501'!$P$44</definedName>
    <definedName name="OSRRefP22_5x_0" localSheetId="39">'Div 2'!$P$44</definedName>
    <definedName name="OSRRefP22_5x_0" localSheetId="47">'Div 3'!$P$146:$P$147</definedName>
    <definedName name="OSRRefP22_5x_0" localSheetId="71">'Div 4'!$P$50:$P$51</definedName>
    <definedName name="OSRRefP22_5x_0" localSheetId="92">'Div 5'!$P$44</definedName>
    <definedName name="OSRRefP22_5x_0" localSheetId="62">'Div 6'!$P$74:$P$75</definedName>
    <definedName name="OSRRefP22_5x_0" localSheetId="2">Summary!$P$171:$P$172</definedName>
    <definedName name="OSRRefP22_6x_0" localSheetId="41">'201'!$P$40</definedName>
    <definedName name="OSRRefP22_6x_0" localSheetId="42">'202'!$P$42:$P$44</definedName>
    <definedName name="OSRRefP22_6x_0" localSheetId="43">'203'!$P$43:$P$44</definedName>
    <definedName name="OSRRefP22_6x_0" localSheetId="44">'204'!$P$44:$P$45</definedName>
    <definedName name="OSRRefP22_6x_0" localSheetId="46">'206'!$P$40</definedName>
    <definedName name="OSRRefP22_6x_0" localSheetId="48">'300'!$P$144:$P$145</definedName>
    <definedName name="OSRRefP22_6x_0" localSheetId="49">'300 &amp; 317'!$P$166:$P$167</definedName>
    <definedName name="OSRRefP22_6x_0" localSheetId="50">'301'!$P$48</definedName>
    <definedName name="OSRRefP22_6x_0" localSheetId="53">'307'!$P$58</definedName>
    <definedName name="OSRRefP22_6x_0" localSheetId="54">'308'!$P$82</definedName>
    <definedName name="OSRRefP22_6x_0" localSheetId="64">'310'!$P$53</definedName>
    <definedName name="OSRRefP22_6x_0" localSheetId="72">'310 &amp; 491'!$P$58</definedName>
    <definedName name="OSRRefP22_6x_0" localSheetId="55">'311'!$P$82</definedName>
    <definedName name="OSRRefP22_6x_0" localSheetId="66">'313'!$P$44</definedName>
    <definedName name="OSRRefP22_6x_0" localSheetId="58">'315'!$P$104:$P$105</definedName>
    <definedName name="OSRRefP22_6x_0" localSheetId="61">'316'!$P$53</definedName>
    <definedName name="OSRRefP22_6x_0" localSheetId="63">'317'!$P$77</definedName>
    <definedName name="OSRRefP22_6x_0" localSheetId="67">'321'!$P$44:$P$45</definedName>
    <definedName name="OSRRefP22_6x_0" localSheetId="68">'322'!$P$38</definedName>
    <definedName name="OSRRefP22_6x_0" localSheetId="69">'325'!$P$45</definedName>
    <definedName name="OSRRefP22_6x_0" localSheetId="59">'326'!$P$68</definedName>
    <definedName name="OSRRefP22_6x_0" localSheetId="52">'330'!$P$63</definedName>
    <definedName name="OSRRefP22_6x_0" localSheetId="57">'331'!$P$103</definedName>
    <definedName name="OSRRefP22_6x_0" localSheetId="60">'332'!$P$55</definedName>
    <definedName name="OSRRefP22_6x_0" localSheetId="74">'405'!$P$47</definedName>
    <definedName name="OSRRefP22_6x_0" localSheetId="76">'411'!$P$44</definedName>
    <definedName name="OSRRefP22_6x_0" localSheetId="80">'415'!$P$47</definedName>
    <definedName name="OSRRefP22_6x_0" localSheetId="81">'418'!$P$44</definedName>
    <definedName name="OSRRefP22_6x_0" localSheetId="87">'430'!$P$40</definedName>
    <definedName name="OSRRefP22_6x_0" localSheetId="88">'433'!$P$48</definedName>
    <definedName name="OSRRefP22_6x_0" localSheetId="90">'444'!$P$49</definedName>
    <definedName name="OSRRefP22_6x_0" localSheetId="91">'450'!$P$49</definedName>
    <definedName name="OSRRefP22_6x_0" localSheetId="73">'491'!$P$49</definedName>
    <definedName name="OSRRefP22_6x_0" localSheetId="86">'492'!$P$50</definedName>
    <definedName name="OSRRefP22_6x_0" localSheetId="93">'501'!$P$46</definedName>
    <definedName name="OSRRefP22_6x_0" localSheetId="39">'Div 2'!$P$46</definedName>
    <definedName name="OSRRefP22_6x_0" localSheetId="47">'Div 3'!$P$149:$P$150</definedName>
    <definedName name="OSRRefP22_6x_0" localSheetId="71">'Div 4'!$P$53</definedName>
    <definedName name="OSRRefP22_6x_0" localSheetId="92">'Div 5'!$P$46</definedName>
    <definedName name="OSRRefP22_6x_0" localSheetId="62">'Div 6'!$P$77</definedName>
    <definedName name="OSRRefP22_6x_0" localSheetId="2">Summary!$P$174:$P$175</definedName>
    <definedName name="OSRRefP22_7x_0" localSheetId="41">'201'!$P$42:$P$43</definedName>
    <definedName name="OSRRefP22_7x_0" localSheetId="42">'202'!$P$46</definedName>
    <definedName name="OSRRefP22_7x_0" localSheetId="43">'203'!$P$46:$P$47</definedName>
    <definedName name="OSRRefP22_7x_0" localSheetId="48">'300'!$P$147</definedName>
    <definedName name="OSRRefP22_7x_0" localSheetId="49">'300 &amp; 317'!$P$169</definedName>
    <definedName name="OSRRefP22_7x_0" localSheetId="50">'301'!$P$50</definedName>
    <definedName name="OSRRefP22_7x_0" localSheetId="53">'307'!$P$60</definedName>
    <definedName name="OSRRefP22_7x_0" localSheetId="54">'308'!$P$84</definedName>
    <definedName name="OSRRefP22_7x_0" localSheetId="64">'310'!$P$55</definedName>
    <definedName name="OSRRefP22_7x_0" localSheetId="72">'310 &amp; 491'!$P$60</definedName>
    <definedName name="OSRRefP22_7x_0" localSheetId="55">'311'!$P$84</definedName>
    <definedName name="OSRRefP22_7x_0" localSheetId="58">'315'!$P$107:$P$108</definedName>
    <definedName name="OSRRefP22_7x_0" localSheetId="61">'316'!$P$55:$P$56</definedName>
    <definedName name="OSRRefP22_7x_0" localSheetId="63">'317'!$P$79</definedName>
    <definedName name="OSRRefP22_7x_0" localSheetId="67">'321'!$P$47:$P$48</definedName>
    <definedName name="OSRRefP22_7x_0" localSheetId="69">'325'!$P$47</definedName>
    <definedName name="OSRRefP22_7x_0" localSheetId="59">'326'!$P$70</definedName>
    <definedName name="OSRRefP22_7x_0" localSheetId="52">'330'!$P$65</definedName>
    <definedName name="OSRRefP22_7x_0" localSheetId="57">'331'!$P$105:$P$106</definedName>
    <definedName name="OSRRefP22_7x_0" localSheetId="60">'332'!$P$57:$P$58</definedName>
    <definedName name="OSRRefP22_7x_0" localSheetId="74">'405'!$P$49</definedName>
    <definedName name="OSRRefP22_7x_0" localSheetId="76">'411'!$P$46</definedName>
    <definedName name="OSRRefP22_7x_0" localSheetId="80">'415'!$P$49</definedName>
    <definedName name="OSRRefP22_7x_0" localSheetId="81">'418'!$P$46:$P$47</definedName>
    <definedName name="OSRRefP22_7x_0" localSheetId="88">'433'!$P$50</definedName>
    <definedName name="OSRRefP22_7x_0" localSheetId="90">'444'!$P$51</definedName>
    <definedName name="OSRRefP22_7x_0" localSheetId="91">'450'!$P$51</definedName>
    <definedName name="OSRRefP22_7x_0" localSheetId="73">'491'!$P$51</definedName>
    <definedName name="OSRRefP22_7x_0" localSheetId="86">'492'!$P$52</definedName>
    <definedName name="OSRRefP22_7x_0" localSheetId="93">'501'!$P$48:$P$49</definedName>
    <definedName name="OSRRefP22_7x_0" localSheetId="39">'Div 2'!$P$48</definedName>
    <definedName name="OSRRefP22_7x_0" localSheetId="47">'Div 3'!$P$152</definedName>
    <definedName name="OSRRefP22_7x_0" localSheetId="71">'Div 4'!$P$55</definedName>
    <definedName name="OSRRefP22_7x_0" localSheetId="92">'Div 5'!$P$48:$P$49</definedName>
    <definedName name="OSRRefP22_7x_0" localSheetId="62">'Div 6'!$P$79</definedName>
    <definedName name="OSRRefP22_7x_0" localSheetId="2">Summary!$P$177</definedName>
    <definedName name="OSRRefP22_8x_0" localSheetId="41">'201'!$P$45:$P$46</definedName>
    <definedName name="OSRRefP22_8x_0" localSheetId="42">'202'!$P$48:$P$49</definedName>
    <definedName name="OSRRefP22_8x_0" localSheetId="43">'203'!$P$49</definedName>
    <definedName name="OSRRefP22_8x_0" localSheetId="48">'300'!$P$149</definedName>
    <definedName name="OSRRefP22_8x_0" localSheetId="49">'300 &amp; 317'!$P$171</definedName>
    <definedName name="OSRRefP22_8x_0" localSheetId="50">'301'!$P$52</definedName>
    <definedName name="OSRRefP22_8x_0" localSheetId="53">'307'!$P$62:$P$63</definedName>
    <definedName name="OSRRefP22_8x_0" localSheetId="54">'308'!$P$86</definedName>
    <definedName name="OSRRefP22_8x_0" localSheetId="64">'310'!$P$57</definedName>
    <definedName name="OSRRefP22_8x_0" localSheetId="72">'310 &amp; 491'!$P$62:$P$63</definedName>
    <definedName name="OSRRefP22_8x_0" localSheetId="55">'311'!$P$86</definedName>
    <definedName name="OSRRefP22_8x_0" localSheetId="58">'315'!$P$110:$P$111</definedName>
    <definedName name="OSRRefP22_8x_0" localSheetId="61">'316'!$P$58</definedName>
    <definedName name="OSRRefP22_8x_0" localSheetId="63">'317'!$P$81:$P$83</definedName>
    <definedName name="OSRRefP22_8x_0" localSheetId="67">'321'!$P$50:$P$53</definedName>
    <definedName name="OSRRefP22_8x_0" localSheetId="69">'325'!$P$49</definedName>
    <definedName name="OSRRefP22_8x_0" localSheetId="59">'326'!$P$72</definedName>
    <definedName name="OSRRefP22_8x_0" localSheetId="52">'330'!$P$67:$P$68</definedName>
    <definedName name="OSRRefP22_8x_0" localSheetId="57">'331'!$P$108</definedName>
    <definedName name="OSRRefP22_8x_0" localSheetId="60">'332'!$P$60</definedName>
    <definedName name="OSRRefP22_8x_0" localSheetId="74">'405'!$P$51</definedName>
    <definedName name="OSRRefP22_8x_0" localSheetId="76">'411'!$P$48</definedName>
    <definedName name="OSRRefP22_8x_0" localSheetId="80">'415'!$P$51</definedName>
    <definedName name="OSRRefP22_8x_0" localSheetId="81">'418'!$P$49</definedName>
    <definedName name="OSRRefP22_8x_0" localSheetId="88">'433'!$P$52</definedName>
    <definedName name="OSRRefP22_8x_0" localSheetId="90">'444'!$P$53</definedName>
    <definedName name="OSRRefP22_8x_0" localSheetId="91">'450'!$P$53</definedName>
    <definedName name="OSRRefP22_8x_0" localSheetId="73">'491'!$P$53</definedName>
    <definedName name="OSRRefP22_8x_0" localSheetId="86">'492'!$P$54</definedName>
    <definedName name="OSRRefP22_8x_0" localSheetId="93">'501'!$P$51</definedName>
    <definedName name="OSRRefP22_8x_0" localSheetId="39">'Div 2'!$P$50:$P$51</definedName>
    <definedName name="OSRRefP22_8x_0" localSheetId="47">'Div 3'!$P$154</definedName>
    <definedName name="OSRRefP22_8x_0" localSheetId="71">'Div 4'!$P$57</definedName>
    <definedName name="OSRRefP22_8x_0" localSheetId="92">'Div 5'!$P$51</definedName>
    <definedName name="OSRRefP22_8x_0" localSheetId="62">'Div 6'!$P$81:$P$83</definedName>
    <definedName name="OSRRefP22_8x_0" localSheetId="2">Summary!$P$179</definedName>
    <definedName name="OSRRefP22_9x_0" localSheetId="41">'201'!$P$48</definedName>
    <definedName name="OSRRefP22_9x_0" localSheetId="42">'202'!$P$51</definedName>
    <definedName name="OSRRefP22_9x_0" localSheetId="43">'203'!$P$51:$P$54</definedName>
    <definedName name="OSRRefP22_9x_0" localSheetId="48">'300'!$P$151:$P$152</definedName>
    <definedName name="OSRRefP22_9x_0" localSheetId="49">'300 &amp; 317'!$P$173:$P$174</definedName>
    <definedName name="OSRRefP22_9x_0" localSheetId="50">'301'!$P$54</definedName>
    <definedName name="OSRRefP22_9x_0" localSheetId="53">'307'!$P$65:$P$66</definedName>
    <definedName name="OSRRefP22_9x_0" localSheetId="54">'308'!$P$88:$P$90</definedName>
    <definedName name="OSRRefP22_9x_0" localSheetId="64">'310'!$P$59</definedName>
    <definedName name="OSRRefP22_9x_0" localSheetId="72">'310 &amp; 491'!$P$65</definedName>
    <definedName name="OSRRefP22_9x_0" localSheetId="55">'311'!$P$88:$P$90</definedName>
    <definedName name="OSRRefP22_9x_0" localSheetId="58">'315'!$P$113</definedName>
    <definedName name="OSRRefP22_9x_0" localSheetId="61">'316'!$P$60:$P$64</definedName>
    <definedName name="OSRRefP22_9x_0" localSheetId="63">'317'!$P$85</definedName>
    <definedName name="OSRRefP22_9x_0" localSheetId="67">'321'!$P$55</definedName>
    <definedName name="OSRRefP22_9x_0" localSheetId="69">'325'!$P$51:$P$52</definedName>
    <definedName name="OSRRefP22_9x_0" localSheetId="59">'326'!$P$74:$P$75</definedName>
    <definedName name="OSRRefP22_9x_0" localSheetId="52">'330'!$P$70:$P$71</definedName>
    <definedName name="OSRRefP22_9x_0" localSheetId="57">'331'!$P$110:$P$111</definedName>
    <definedName name="OSRRefP22_9x_0" localSheetId="60">'332'!$P$62:$P$66</definedName>
    <definedName name="OSRRefP22_9x_0" localSheetId="74">'405'!$P$53:$P$54</definedName>
    <definedName name="OSRRefP22_9x_0" localSheetId="76">'411'!$P$50:$P$52</definedName>
    <definedName name="OSRRefP22_9x_0" localSheetId="80">'415'!$P$53</definedName>
    <definedName name="OSRRefP22_9x_0" localSheetId="81">'418'!$P$51</definedName>
    <definedName name="OSRRefP22_9x_0" localSheetId="88">'433'!$P$54</definedName>
    <definedName name="OSRRefP22_9x_0" localSheetId="90">'444'!$P$55</definedName>
    <definedName name="OSRRefP22_9x_0" localSheetId="91">'450'!$P$55</definedName>
    <definedName name="OSRRefP22_9x_0" localSheetId="73">'491'!$P$55</definedName>
    <definedName name="OSRRefP22_9x_0" localSheetId="86">'492'!$P$56</definedName>
    <definedName name="OSRRefP22_9x_0" localSheetId="93">'501'!$P$53</definedName>
    <definedName name="OSRRefP22_9x_0" localSheetId="39">'Div 2'!$P$53</definedName>
    <definedName name="OSRRefP22_9x_0" localSheetId="47">'Div 3'!$P$156:$P$157</definedName>
    <definedName name="OSRRefP22_9x_0" localSheetId="71">'Div 4'!$P$59</definedName>
    <definedName name="OSRRefP22_9x_0" localSheetId="92">'Div 5'!$P$53</definedName>
    <definedName name="OSRRefP22_9x_0" localSheetId="62">'Div 6'!$P$85</definedName>
    <definedName name="OSRRefP22_9x_0" localSheetId="2">Summary!$P$181</definedName>
    <definedName name="OSRRefP22x_0" localSheetId="40">'200'!$P$20,'200'!$P$22,'200'!$P$24,'200'!$P$26</definedName>
    <definedName name="OSRRefP22x_0" localSheetId="41">'201'!$P$20:$P$27,'201'!$P$29:$P$30,'201'!$P$32,'201'!$P$34,'201'!$P$36,'201'!$P$38,'201'!$P$40,'201'!$P$42:$P$43,'201'!$P$45:$P$46,'201'!$P$48,'201'!$P$50:$P$51,'201'!$P$53</definedName>
    <definedName name="OSRRefP22x_0" localSheetId="42">'202'!$P$20:$P$27,'202'!$P$29:$P$31,'202'!$P$33,'202'!$P$35,'202'!$P$37:$P$38,'202'!$P$40,'202'!$P$42:$P$44,'202'!$P$46,'202'!$P$48:$P$49,'202'!$P$51,'202'!$P$53,'202'!$P$55</definedName>
    <definedName name="OSRRefP22x_0" localSheetId="43">'203'!$P$20:$P$28,'203'!$P$30:$P$33,'203'!$P$35,'203'!$P$37,'203'!$P$39,'203'!$P$41,'203'!$P$43:$P$44,'203'!$P$46:$P$47,'203'!$P$49,'203'!$P$51:$P$54,'203'!$P$56,'203'!$P$58</definedName>
    <definedName name="OSRRefP22x_0" localSheetId="44">'204'!$P$20:$P$28,'204'!$P$30:$P$32,'204'!$P$34,'204'!$P$36,'204'!$P$38:$P$40,'204'!$P$42,'204'!$P$44:$P$45</definedName>
    <definedName name="OSRRefP22x_0" localSheetId="45">'205'!$P$20:$P$27,'205'!$P$29,'205'!$P$31,'205'!$P$33:$P$34,'205'!$P$36:$P$37,'205'!$P$39</definedName>
    <definedName name="OSRRefP22x_0" localSheetId="46">'206'!$P$20:$P$26,'206'!$P$28:$P$30,'206'!$P$32,'206'!$P$34,'206'!$P$36,'206'!$P$38,'206'!$P$40</definedName>
    <definedName name="OSRRefP22x_0" localSheetId="48">'300'!$P$116:$P$125,'300'!$P$127:$P$133,'300'!$P$135,'300'!$P$137,'300'!$P$139,'300'!$P$141:$P$142,'300'!$P$144:$P$145,'300'!$P$147,'300'!$P$149,'300'!$P$151:$P$152,'300'!$P$154,'300'!$P$156,'300'!$P$158:$P$159,'300'!$P$161,'300'!$P$163:$P$166,'300'!$P$168:$P$170,'300'!$P$172:$P$175,'300'!$P$177:$P$178,'300'!$P$180:$P$185,'300'!$P$187:$P$188,'300'!$P$190,'300'!$P$192:$P$194,'300'!$P$196</definedName>
    <definedName name="OSRRefP22x_0" localSheetId="49">'300 &amp; 317'!$P$138:$P$147,'300 &amp; 317'!$P$149:$P$155,'300 &amp; 317'!$P$157,'300 &amp; 317'!$P$159,'300 &amp; 317'!$P$161,'300 &amp; 317'!$P$163:$P$164,'300 &amp; 317'!$P$166:$P$167,'300 &amp; 317'!$P$169,'300 &amp; 317'!$P$171,'300 &amp; 317'!$P$173:$P$174,'300 &amp; 317'!$P$176,'300 &amp; 317'!$P$178,'300 &amp; 317'!$P$180:$P$181,'300 &amp; 317'!$P$183,'300 &amp; 317'!$P$185:$P$188,'300 &amp; 317'!$P$190:$P$192,'300 &amp; 317'!$P$194:$P$197,'300 &amp; 317'!$P$199:$P$200,'300 &amp; 317'!$P$202:$P$207,'300 &amp; 317'!$P$209:$P$210,'300 &amp; 317'!$P$212,'300 &amp; 317'!$P$214:$P$216,'300 &amp; 317'!$P$218</definedName>
    <definedName name="OSRRefP22x_0" localSheetId="50">'301'!$P$20:$P$29,'301'!$P$31:$P$37,'301'!$P$39,'301'!$P$41,'301'!$P$43,'301'!$P$45:$P$46,'301'!$P$48,'301'!$P$50,'301'!$P$52,'301'!$P$54,'301'!$P$56,'301'!$P$58,'301'!$P$60,'301'!$P$62:$P$65,'301'!$P$67:$P$69,'301'!$P$71,'301'!$P$73:$P$77,'301'!$P$79,'301'!$P$81,'301'!$P$83:$P$84,'301'!$P$86</definedName>
    <definedName name="OSRRefP22x_0" localSheetId="51">'306'!$P$20:$P$23,'306'!$P$25:$P$26,'306'!$P$28,'306'!$P$30,'306'!$P$32,'306'!$P$34</definedName>
    <definedName name="OSRRefP22x_0" localSheetId="53">'307'!$P$42:$P$44,'307'!$P$46:$P$47,'307'!$P$49,'307'!$P$51,'307'!$P$53:$P$54,'307'!$P$56,'307'!$P$58,'307'!$P$60,'307'!$P$62:$P$63,'307'!$P$65:$P$66,'307'!$P$68:$P$70,'307'!$P$72</definedName>
    <definedName name="OSRRefP22x_0" localSheetId="54">'308'!$P$56:$P$64,'308'!$P$66:$P$72,'308'!$P$74,'308'!$P$76,'308'!$P$78,'308'!$P$80,'308'!$P$82,'308'!$P$84,'308'!$P$86,'308'!$P$88:$P$90,'308'!$P$92,'308'!$P$94:$P$95,'308'!$P$97:$P$98,'308'!$P$100</definedName>
    <definedName name="OSRRefP22x_0" localSheetId="65">'309'!$P$20,'309'!$P$22:$P$23,'309'!$P$25:$P$26,'309'!$P$28</definedName>
    <definedName name="OSRRefP22x_0" localSheetId="64">'310'!$P$31:$P$38,'310'!$P$40:$P$42,'310'!$P$44,'310'!$P$46,'310'!$P$48,'310'!$P$50:$P$51,'310'!$P$53,'310'!$P$55,'310'!$P$57,'310'!$P$59,'310'!$P$61:$P$62,'310'!$P$64:$P$66,'310'!$P$68:$P$72,'310'!$P$74,'310'!$P$76</definedName>
    <definedName name="OSRRefP22x_0" localSheetId="72">'310 &amp; 491'!$P$34:$P$41,'310 &amp; 491'!$P$43:$P$47,'310 &amp; 491'!$P$49,'310 &amp; 491'!$P$51,'310 &amp; 491'!$P$53,'310 &amp; 491'!$P$55:$P$56,'310 &amp; 491'!$P$58,'310 &amp; 491'!$P$60,'310 &amp; 491'!$P$62:$P$63,'310 &amp; 491'!$P$65,'310 &amp; 491'!$P$67,'310 &amp; 491'!$P$69,'310 &amp; 491'!$P$71,'310 &amp; 491'!$P$73:$P$75,'310 &amp; 491'!$P$77:$P$80,'310 &amp; 491'!$P$82,'310 &amp; 491'!$P$84:$P$90,'310 &amp; 491'!$P$92,'310 &amp; 491'!$P$94,'310 &amp; 491'!$P$96</definedName>
    <definedName name="OSRRefP22x_0" localSheetId="55">'311'!$P$56:$P$64,'311'!$P$66:$P$72,'311'!$P$74,'311'!$P$76,'311'!$P$78,'311'!$P$80,'311'!$P$82,'311'!$P$84,'311'!$P$86,'311'!$P$88:$P$90,'311'!$P$92,'311'!$P$94:$P$95,'311'!$P$97:$P$98,'311'!$P$100</definedName>
    <definedName name="OSRRefP22x_0" localSheetId="66">'313'!$P$25:$P$32,'313'!$P$34,'313'!$P$36,'313'!$P$38,'313'!$P$40,'313'!$P$42,'313'!$P$44</definedName>
    <definedName name="OSRRefP22x_0" localSheetId="58">'315'!$P$79:$P$86,'315'!$P$88:$P$92,'315'!$P$94,'315'!$P$96:$P$97,'315'!$P$99,'315'!$P$101:$P$102,'315'!$P$104:$P$105,'315'!$P$107:$P$108,'315'!$P$110:$P$111,'315'!$P$113,'315'!$P$115:$P$117,'315'!$P$119,'315'!$P$121</definedName>
    <definedName name="OSRRefP22x_0" localSheetId="61">'316'!$P$31:$P$38,'316'!$P$40:$P$42,'316'!$P$44,'316'!$P$46,'316'!$P$48,'316'!$P$50:$P$51,'316'!$P$53,'316'!$P$55:$P$56,'316'!$P$58,'316'!$P$60:$P$64,'316'!$P$66,'316'!$P$68</definedName>
    <definedName name="OSRRefP22x_0" localSheetId="63">'317'!$P$52:$P$60,'317'!$P$62:$P$66,'317'!$P$68,'317'!$P$70,'317'!$P$72,'317'!$P$74:$P$75,'317'!$P$77,'317'!$P$79,'317'!$P$81:$P$83,'317'!$P$85</definedName>
    <definedName name="OSRRefP22x_0" localSheetId="67">'321'!$P$23:$P$30,'321'!$P$32:$P$34,'321'!$P$36,'321'!$P$38,'321'!$P$40,'321'!$P$42,'321'!$P$44:$P$45,'321'!$P$47:$P$48,'321'!$P$50:$P$53,'321'!$P$55,'321'!$P$57</definedName>
    <definedName name="OSRRefP22x_0" localSheetId="68">'322'!$P$21:$P$25,'322'!$P$27,'322'!$P$29,'322'!$P$31,'322'!$P$33:$P$34,'322'!$P$36,'322'!$P$38</definedName>
    <definedName name="OSRRefP22x_0" localSheetId="69">'325'!$P$24:$P$30,'325'!$P$32:$P$34,'325'!$P$36,'325'!$P$38,'325'!$P$40,'325'!$P$42:$P$43,'325'!$P$45,'325'!$P$47,'325'!$P$49,'325'!$P$51:$P$52,'325'!$P$54:$P$56,'325'!$P$58:$P$61,'325'!$P$63,'325'!$P$65</definedName>
    <definedName name="OSRRefP22x_0" localSheetId="59">'326'!$P$45:$P$52,'326'!$P$54:$P$58,'326'!$P$60,'326'!$P$62,'326'!$P$64,'326'!$P$66,'326'!$P$68,'326'!$P$70,'326'!$P$72,'326'!$P$74:$P$75,'326'!$P$77:$P$78,'326'!$P$80,'326'!$P$82:$P$85,'326'!$P$87,'326'!$P$89,'326'!$P$91</definedName>
    <definedName name="OSRRefP22x_0" localSheetId="70">'327'!$P$24</definedName>
    <definedName name="OSRRefP22x_0" localSheetId="52">'330'!$P$45:$P$48,'330'!$P$50:$P$51,'330'!$P$53,'330'!$P$55,'330'!$P$57:$P$58,'330'!$P$60:$P$61,'330'!$P$63,'330'!$P$65,'330'!$P$67:$P$68,'330'!$P$70:$P$71,'330'!$P$73:$P$75,'330'!$P$77</definedName>
    <definedName name="OSRRefP22x_0" localSheetId="57">'331'!$P$79:$P$86,'331'!$P$88:$P$92,'331'!$P$94,'331'!$P$96,'331'!$P$98,'331'!$P$100:$P$101,'331'!$P$103,'331'!$P$105:$P$106,'331'!$P$108,'331'!$P$110:$P$111,'331'!$P$113,'331'!$P$115:$P$116,'331'!$P$118:$P$119,'331'!$P$121:$P$122,'331'!$P$124,'331'!$P$126:$P$129,'331'!$P$131,'331'!$P$133,'331'!$P$135</definedName>
    <definedName name="OSRRefP22x_0" localSheetId="60">'332'!$P$33:$P$40,'332'!$P$42:$P$44,'332'!$P$46,'332'!$P$48,'332'!$P$50,'332'!$P$52:$P$53,'332'!$P$55,'332'!$P$57:$P$58,'332'!$P$60,'332'!$P$62:$P$66,'332'!$P$68,'332'!$P$70</definedName>
    <definedName name="OSRRefP22x_0" localSheetId="74">'405'!$P$24:$P$31,'405'!$P$33:$P$36,'405'!$P$38,'405'!$P$40,'405'!$P$42,'405'!$P$44:$P$45,'405'!$P$47,'405'!$P$49,'405'!$P$51,'405'!$P$53:$P$54,'405'!$P$56:$P$57,'405'!$P$59:$P$64,'405'!$P$66,'405'!$P$68</definedName>
    <definedName name="OSRRefP22x_0" localSheetId="75">'406'!$P$20,'406'!$P$22,'406'!$P$24,'406'!$P$26,'406'!$P$28</definedName>
    <definedName name="OSRRefP22x_0" localSheetId="76">'411'!$P$20:$P$27,'411'!$P$29:$P$33,'411'!$P$35,'411'!$P$37:$P$38,'411'!$P$40,'411'!$P$42,'411'!$P$44,'411'!$P$46,'411'!$P$48,'411'!$P$50:$P$52,'411'!$P$54:$P$55,'411'!$P$57:$P$58,'411'!$P$60,'411'!$P$62,'411'!$P$64</definedName>
    <definedName name="OSRRefP22x_0" localSheetId="77">'412'!$P$20,'412'!$P$22,'412'!$P$24,'412'!$P$26,'412'!$P$28</definedName>
    <definedName name="OSRRefP22x_0" localSheetId="78">'413'!$P$20:$P$24,'413'!$P$26,'413'!$P$28,'413'!$P$30,'413'!$P$32,'413'!$P$34</definedName>
    <definedName name="OSRRefP22x_0" localSheetId="79">'414'!$P$21,'414'!$P$23,'414'!$P$25,'414'!$P$27,'414'!$P$29:$P$30</definedName>
    <definedName name="OSRRefP22x_0" localSheetId="80">'415'!$P$24:$P$31,'415'!$P$33:$P$36,'415'!$P$38,'415'!$P$40,'415'!$P$42,'415'!$P$44:$P$45,'415'!$P$47,'415'!$P$49,'415'!$P$51,'415'!$P$53,'415'!$P$55:$P$56,'415'!$P$58:$P$61,'415'!$P$63,'415'!$P$65:$P$70,'415'!$P$72,'415'!$P$74</definedName>
    <definedName name="OSRRefP22x_0" localSheetId="81">'418'!$P$21:$P$28,'418'!$P$30:$P$33,'418'!$P$35,'418'!$P$37,'418'!$P$39:$P$40,'418'!$P$42,'418'!$P$44,'418'!$P$46:$P$47,'418'!$P$49,'418'!$P$51,'418'!$P$53:$P$55,'418'!$P$57</definedName>
    <definedName name="OSRRefP22x_0" localSheetId="82">'423'!$P$20:$P$21,'423'!$P$23,'423'!$P$25,'423'!$P$27</definedName>
    <definedName name="OSRRefP22x_0" localSheetId="83">'424'!$P$20,'424'!$P$22,'424'!$P$24,'424'!$P$26</definedName>
    <definedName name="OSRRefP22x_0" localSheetId="84">'425'!$P$21:$P$25,'425'!$P$27,'425'!$P$29,'425'!$P$31,'425'!$P$33</definedName>
    <definedName name="OSRRefP22x_0" localSheetId="87">'430'!$P$20:$P$27,'430'!$P$29,'430'!$P$31,'430'!$P$33,'430'!$P$35:$P$36,'430'!$P$38,'430'!$P$40</definedName>
    <definedName name="OSRRefP22x_0" localSheetId="88">'433'!$P$25:$P$33,'433'!$P$35:$P$38,'433'!$P$40,'433'!$P$42,'433'!$P$44,'433'!$P$46,'433'!$P$48,'433'!$P$50,'433'!$P$52,'433'!$P$54,'433'!$P$56:$P$57,'433'!$P$59:$P$61,'433'!$P$63:$P$69,'433'!$P$71</definedName>
    <definedName name="OSRRefP22x_0" localSheetId="89">'435'!$P$20</definedName>
    <definedName name="OSRRefP22x_0" localSheetId="90">'444'!$P$25:$P$33,'444'!$P$35:$P$39,'444'!$P$41,'444'!$P$43,'444'!$P$45,'444'!$P$47,'444'!$P$49,'444'!$P$51,'444'!$P$53,'444'!$P$55,'444'!$P$57:$P$58,'444'!$P$60:$P$62,'444'!$P$64:$P$70,'444'!$P$72,'444'!$P$74</definedName>
    <definedName name="OSRRefP22x_0" localSheetId="91">'450'!$P$25:$P$33,'450'!$P$35:$P$39,'450'!$P$41,'450'!$P$43,'450'!$P$45,'450'!$P$47,'450'!$P$49,'450'!$P$51,'450'!$P$53,'450'!$P$55,'450'!$P$57,'450'!$P$59,'450'!$P$61,'450'!$P$63:$P$64,'450'!$P$66:$P$70,'450'!$P$72,'450'!$P$74</definedName>
    <definedName name="OSRRefP22x_0" localSheetId="73">'491'!$P$25:$P$32,'491'!$P$34:$P$38,'491'!$P$40,'491'!$P$42,'491'!$P$44,'491'!$P$46:$P$47,'491'!$P$49,'491'!$P$51,'491'!$P$53,'491'!$P$55,'491'!$P$57,'491'!$P$59,'491'!$P$61,'491'!$P$63:$P$65,'491'!$P$67:$P$70,'491'!$P$72,'491'!$P$74:$P$80,'491'!$P$82,'491'!$P$84,'491'!$P$86</definedName>
    <definedName name="OSRRefP22x_0" localSheetId="86">'492'!$P$25:$P$33,'492'!$P$35:$P$40,'492'!$P$42,'492'!$P$44,'492'!$P$46,'492'!$P$48,'492'!$P$50,'492'!$P$52,'492'!$P$54,'492'!$P$56,'492'!$P$58,'492'!$P$60,'492'!$P$62:$P$64,'492'!$P$66:$P$68,'492'!$P$70:$P$77,'492'!$P$79,'492'!$P$81,'492'!$P$83:$P$84</definedName>
    <definedName name="OSRRefP22x_0" localSheetId="93">'501'!$P$21:$P$28,'501'!$P$30:$P$35,'501'!$P$37,'501'!$P$39,'501'!$P$41:$P$42,'501'!$P$44,'501'!$P$46,'501'!$P$48:$P$49,'501'!$P$51,'501'!$P$53</definedName>
    <definedName name="OSRRefP22x_0" localSheetId="39">'Div 2'!$P$20:$P$29,'Div 2'!$P$31:$P$36,'Div 2'!$P$38,'Div 2'!$P$40,'Div 2'!$P$42,'Div 2'!$P$44,'Div 2'!$P$46,'Div 2'!$P$48,'Div 2'!$P$50:$P$51,'Div 2'!$P$53,'Div 2'!$P$55,'Div 2'!$P$57:$P$59,'Div 2'!$P$61:$P$63,'Div 2'!$P$65,'Div 2'!$P$67,'Div 2'!$P$69:$P$73,'Div 2'!$P$75:$P$76,'Div 2'!$P$78,'Div 2'!$P$80</definedName>
    <definedName name="OSRRefP22x_0" localSheetId="47">'Div 3'!$P$121:$P$130,'Div 3'!$P$132:$P$138,'Div 3'!$P$140,'Div 3'!$P$142,'Div 3'!$P$144,'Div 3'!$P$146:$P$147,'Div 3'!$P$149:$P$150,'Div 3'!$P$152,'Div 3'!$P$154,'Div 3'!$P$156:$P$157,'Div 3'!$P$159,'Div 3'!$P$161,'Div 3'!$P$163,'Div 3'!$P$165:$P$166,'Div 3'!$P$168,'Div 3'!$P$170:$P$173,'Div 3'!$P$175:$P$177,'Div 3'!$P$179:$P$183,'Div 3'!$P$185:$P$186,'Div 3'!$P$188:$P$194,'Div 3'!$P$196:$P$197,'Div 3'!$P$199,'Div 3'!$P$201:$P$203,'Div 3'!$P$205</definedName>
    <definedName name="OSRRefP22x_0" localSheetId="71">'Div 4'!$P$27:$P$35,'Div 4'!$P$37:$P$42,'Div 4'!$P$44,'Div 4'!$P$46,'Div 4'!$P$48,'Div 4'!$P$50:$P$51,'Div 4'!$P$53,'Div 4'!$P$55,'Div 4'!$P$57,'Div 4'!$P$59,'Div 4'!$P$61,'Div 4'!$P$63,'Div 4'!$P$65,'Div 4'!$P$67,'Div 4'!$P$69,'Div 4'!$P$71:$P$73,'Div 4'!$P$75:$P$78,'Div 4'!$P$80,'Div 4'!$P$82:$P$89,'Div 4'!$P$91,'Div 4'!$P$93,'Div 4'!$P$95:$P$96,'Div 4'!$P$98</definedName>
    <definedName name="OSRRefP22x_0" localSheetId="92">'Div 5'!$P$21:$P$28,'Div 5'!$P$30:$P$35,'Div 5'!$P$37,'Div 5'!$P$39,'Div 5'!$P$41:$P$42,'Div 5'!$P$44,'Div 5'!$P$46,'Div 5'!$P$48:$P$49,'Div 5'!$P$51,'Div 5'!$P$53</definedName>
    <definedName name="OSRRefP22x_0" localSheetId="62">'Div 6'!$P$52:$P$60,'Div 6'!$P$62:$P$66,'Div 6'!$P$68,'Div 6'!$P$70,'Div 6'!$P$72,'Div 6'!$P$74:$P$75,'Div 6'!$P$77,'Div 6'!$P$79,'Div 6'!$P$81:$P$83,'Div 6'!$P$85</definedName>
    <definedName name="OSRRefP22x_0" localSheetId="2">Summary!$P$146:$P$155,Summary!$P$157:$P$163,Summary!$P$165,Summary!$P$167,Summary!$P$169,Summary!$P$171:$P$172,Summary!$P$174:$P$175,Summary!$P$177,Summary!$P$179,Summary!$P$181,Summary!$P$183:$P$184,Summary!$P$186,Summary!$P$188,Summary!$P$190,Summary!$P$192:$P$193,Summary!$P$195,Summary!$P$197,Summary!$P$199:$P$202,Summary!$P$204:$P$206,Summary!$P$208:$P$212,Summary!$P$214:$P$215,Summary!$P$217:$P$225,Summary!$P$227:$P$228,Summary!$P$230,Summary!$P$232:$P$234,Summary!$P$236</definedName>
    <definedName name="OSRRefP25x_0" localSheetId="48">'300'!$P$199:$P$202</definedName>
    <definedName name="OSRRefP25x_0" localSheetId="49">'300 &amp; 317'!$P$221:$P$226</definedName>
    <definedName name="OSRRefP25x_0" localSheetId="50">'301'!$P$89</definedName>
    <definedName name="OSRRefP25x_0" localSheetId="54">'308'!$P$103:$P$105</definedName>
    <definedName name="OSRRefP25x_0" localSheetId="72">'310 &amp; 491'!$P$99:$P$101</definedName>
    <definedName name="OSRRefP25x_0" localSheetId="55">'311'!$P$103:$P$105</definedName>
    <definedName name="OSRRefP25x_0" localSheetId="58">'315'!$P$124:$P$125</definedName>
    <definedName name="OSRRefP25x_0" localSheetId="61">'316'!$P$71</definedName>
    <definedName name="OSRRefP25x_0" localSheetId="63">'317'!$P$88:$P$90</definedName>
    <definedName name="OSRRefP25x_0" localSheetId="57">'331'!$P$138:$P$139</definedName>
    <definedName name="OSRRefP25x_0" localSheetId="60">'332'!$P$73:$P$74</definedName>
    <definedName name="OSRRefP25x_0" localSheetId="76">'411'!$P$67:$P$68</definedName>
    <definedName name="OSRRefP25x_0" localSheetId="80">'415'!$P$77</definedName>
    <definedName name="OSRRefP25x_0" localSheetId="81">'418'!$P$60</definedName>
    <definedName name="OSRRefP25x_0" localSheetId="82">'423'!$P$30</definedName>
    <definedName name="OSRRefP25x_0" localSheetId="85">'455'!$P$21:$P$22</definedName>
    <definedName name="OSRRefP25x_0" localSheetId="73">'491'!$P$89:$P$91</definedName>
    <definedName name="OSRRefP25x_0" localSheetId="93">'501'!$P$56</definedName>
    <definedName name="OSRRefP25x_0" localSheetId="47">'Div 3'!$P$208:$P$211</definedName>
    <definedName name="OSRRefP25x_0" localSheetId="71">'Div 4'!$P$101:$P$103</definedName>
    <definedName name="OSRRefP25x_0" localSheetId="92">'Div 5'!$P$56</definedName>
    <definedName name="OSRRefP25x_0" localSheetId="62">'Div 6'!$P$88:$P$90</definedName>
    <definedName name="OSRRefP25x_0" localSheetId="2">Summary!$P$239:$P$246</definedName>
    <definedName name="OSRRefT13x_0" localSheetId="48">'300'!$T$13:$T$74</definedName>
    <definedName name="OSRRefT13x_0" localSheetId="49">'300 &amp; 317'!$T$13:$T$88</definedName>
    <definedName name="OSRRefT13x_0" localSheetId="53">'307'!$T$13:$T$24</definedName>
    <definedName name="OSRRefT13x_0" localSheetId="54">'308'!$T$13:$T$34</definedName>
    <definedName name="OSRRefT13x_0" localSheetId="64">'310'!$T$13:$T$21</definedName>
    <definedName name="OSRRefT13x_0" localSheetId="72">'310 &amp; 491'!$T$13:$T$24</definedName>
    <definedName name="OSRRefT13x_0" localSheetId="55">'311'!$T$13:$T$34</definedName>
    <definedName name="OSRRefT13x_0" localSheetId="66">'313'!$T$13:$T$16</definedName>
    <definedName name="OSRRefT13x_0" localSheetId="58">'315'!$T$13:$T$51</definedName>
    <definedName name="OSRRefT13x_0" localSheetId="61">'316'!$T$13:$T$23</definedName>
    <definedName name="OSRRefT13x_0" localSheetId="63">'317'!$T$13:$T$32</definedName>
    <definedName name="OSRRefT13x_0" localSheetId="67">'321'!$T$13:$T$14</definedName>
    <definedName name="OSRRefT13x_0" localSheetId="56">'324'!$T$13:$T$16</definedName>
    <definedName name="OSRRefT13x_0" localSheetId="69">'325'!$T$13:$T$14</definedName>
    <definedName name="OSRRefT13x_0" localSheetId="59">'326'!$T$13:$T$33</definedName>
    <definedName name="OSRRefT13x_0" localSheetId="70">'327'!$T$13:$T$14</definedName>
    <definedName name="OSRRefT13x_0" localSheetId="52">'330'!$T$13:$T$27</definedName>
    <definedName name="OSRRefT13x_0" localSheetId="57">'331'!$T$13:$T$51</definedName>
    <definedName name="OSRRefT13x_0" localSheetId="60">'332'!$T$13:$T$23</definedName>
    <definedName name="OSRRefT13x_0" localSheetId="74">'405'!$T$13:$T$14</definedName>
    <definedName name="OSRRefT13x_0" localSheetId="79">'414'!$T$13</definedName>
    <definedName name="OSRRefT13x_0" localSheetId="80">'415'!$T$13:$T$14</definedName>
    <definedName name="OSRRefT13x_0" localSheetId="88">'433'!$T$13:$T$15</definedName>
    <definedName name="OSRRefT13x_0" localSheetId="90">'444'!$T$13:$T$15</definedName>
    <definedName name="OSRRefT13x_0" localSheetId="91">'450'!$T$13:$T$15</definedName>
    <definedName name="OSRRefT13x_0" localSheetId="73">'491'!$T$13:$T$15</definedName>
    <definedName name="OSRRefT13x_0" localSheetId="86">'492'!$T$13:$T$15</definedName>
    <definedName name="OSRRefT13x_0" localSheetId="93">'501'!$T$13</definedName>
    <definedName name="OSRRefT13x_0" localSheetId="47">'Div 3'!$T$13:$T$77</definedName>
    <definedName name="OSRRefT13x_0" localSheetId="71">'Div 4'!$T$13:$T$17</definedName>
    <definedName name="OSRRefT13x_0" localSheetId="92">'Div 5'!$T$13</definedName>
    <definedName name="OSRRefT13x_0" localSheetId="62">'Div 6'!$T$13:$T$32</definedName>
    <definedName name="OSRRefT13x_0" localSheetId="2">Summary!$T$13:$T$94</definedName>
    <definedName name="OSRRefT16x_0" localSheetId="48">'300'!$T$77:$T$110</definedName>
    <definedName name="OSRRefT16x_0" localSheetId="49">'300 &amp; 317'!$T$91:$T$132</definedName>
    <definedName name="OSRRefT16x_0" localSheetId="53">'307'!$T$27:$T$36</definedName>
    <definedName name="OSRRefT16x_0" localSheetId="54">'308'!$T$37:$T$50</definedName>
    <definedName name="OSRRefT16x_0" localSheetId="64">'310'!$T$24:$T$25</definedName>
    <definedName name="OSRRefT16x_0" localSheetId="72">'310 &amp; 491'!$T$27:$T$28</definedName>
    <definedName name="OSRRefT16x_0" localSheetId="55">'311'!$T$37:$T$50</definedName>
    <definedName name="OSRRefT16x_0" localSheetId="66">'313'!$T$19</definedName>
    <definedName name="OSRRefT16x_0" localSheetId="58">'315'!$T$54:$T$73</definedName>
    <definedName name="OSRRefT16x_0" localSheetId="63">'317'!$T$35:$T$46</definedName>
    <definedName name="OSRRefT16x_0" localSheetId="67">'321'!$T$17</definedName>
    <definedName name="OSRRefT16x_0" localSheetId="68">'322'!$T$15</definedName>
    <definedName name="OSRRefT16x_0" localSheetId="56">'324'!$T$19:$T$21</definedName>
    <definedName name="OSRRefT16x_0" localSheetId="69">'325'!$T$17:$T$18</definedName>
    <definedName name="OSRRefT16x_0" localSheetId="59">'326'!$T$36:$T$39</definedName>
    <definedName name="OSRRefT16x_0" localSheetId="70">'327'!$T$17:$T$18</definedName>
    <definedName name="OSRRefT16x_0" localSheetId="52">'330'!$T$30:$T$39</definedName>
    <definedName name="OSRRefT16x_0" localSheetId="57">'331'!$T$54:$T$73</definedName>
    <definedName name="OSRRefT16x_0" localSheetId="60">'332'!$T$26:$T$27</definedName>
    <definedName name="OSRRefT16x_0" localSheetId="74">'405'!$T$17:$T$18</definedName>
    <definedName name="OSRRefT16x_0" localSheetId="80">'415'!$T$17:$T$18</definedName>
    <definedName name="OSRRefT16x_0" localSheetId="81">'418'!$T$15</definedName>
    <definedName name="OSRRefT16x_0" localSheetId="84">'425'!$T$15</definedName>
    <definedName name="OSRRefT16x_0" localSheetId="88">'433'!$T$18:$T$19</definedName>
    <definedName name="OSRRefT16x_0" localSheetId="90">'444'!$T$18:$T$19</definedName>
    <definedName name="OSRRefT16x_0" localSheetId="91">'450'!$T$18:$T$19</definedName>
    <definedName name="OSRRefT16x_0" localSheetId="73">'491'!$T$18:$T$19</definedName>
    <definedName name="OSRRefT16x_0" localSheetId="86">'492'!$T$18:$T$19</definedName>
    <definedName name="OSRRefT16x_0" localSheetId="47">'Div 3'!$T$80:$T$115</definedName>
    <definedName name="OSRRefT16x_0" localSheetId="71">'Div 4'!$T$20:$T$21</definedName>
    <definedName name="OSRRefT16x_0" localSheetId="62">'Div 6'!$T$35:$T$46</definedName>
    <definedName name="OSRRefT16x_0" localSheetId="2">Summary!$T$97:$T$140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'203'!$T$20:$T$28</definedName>
    <definedName name="OSRRefT22_0x_0" localSheetId="44">'204'!$T$20:$T$28</definedName>
    <definedName name="OSRRefT22_0x_0" localSheetId="45">'205'!$T$20:$T$27</definedName>
    <definedName name="OSRRefT22_0x_0" localSheetId="46">'206'!$T$20:$T$26</definedName>
    <definedName name="OSRRefT22_0x_0" localSheetId="48">'300'!$T$116:$T$125</definedName>
    <definedName name="OSRRefT22_0x_0" localSheetId="49">'300 &amp; 317'!$T$138:$T$147</definedName>
    <definedName name="OSRRefT22_0x_0" localSheetId="50">'301'!$T$20:$T$29</definedName>
    <definedName name="OSRRefT22_0x_0" localSheetId="51">'306'!$T$20:$T$23</definedName>
    <definedName name="OSRRefT22_0x_0" localSheetId="53">'307'!$T$42:$T$44</definedName>
    <definedName name="OSRRefT22_0x_0" localSheetId="54">'308'!$T$56:$T$64</definedName>
    <definedName name="OSRRefT22_0x_0" localSheetId="65">'309'!$T$20</definedName>
    <definedName name="OSRRefT22_0x_0" localSheetId="64">'310'!$T$31:$T$38</definedName>
    <definedName name="OSRRefT22_0x_0" localSheetId="72">'310 &amp; 491'!$T$34:$T$41</definedName>
    <definedName name="OSRRefT22_0x_0" localSheetId="55">'311'!$T$56:$T$64</definedName>
    <definedName name="OSRRefT22_0x_0" localSheetId="66">'313'!$T$25:$T$32</definedName>
    <definedName name="OSRRefT22_0x_0" localSheetId="58">'315'!$T$79:$T$86</definedName>
    <definedName name="OSRRefT22_0x_0" localSheetId="61">'316'!$T$31:$T$38</definedName>
    <definedName name="OSRRefT22_0x_0" localSheetId="63">'317'!$T$52:$T$60</definedName>
    <definedName name="OSRRefT22_0x_0" localSheetId="67">'321'!$T$23:$T$30</definedName>
    <definedName name="OSRRefT22_0x_0" localSheetId="68">'322'!$T$21:$T$25</definedName>
    <definedName name="OSRRefT22_0x_0" localSheetId="69">'325'!$T$24:$T$30</definedName>
    <definedName name="OSRRefT22_0x_0" localSheetId="59">'326'!$T$45:$T$52</definedName>
    <definedName name="OSRRefT22_0x_0" localSheetId="70">'327'!$T$24</definedName>
    <definedName name="OSRRefT22_0x_0" localSheetId="52">'330'!$T$45:$T$48</definedName>
    <definedName name="OSRRefT22_0x_0" localSheetId="57">'331'!$T$79:$T$86</definedName>
    <definedName name="OSRRefT22_0x_0" localSheetId="60">'332'!$T$33:$T$40</definedName>
    <definedName name="OSRRefT22_0x_0" localSheetId="74">'405'!$T$24:$T$31</definedName>
    <definedName name="OSRRefT22_0x_0" localSheetId="75">'406'!$T$20</definedName>
    <definedName name="OSRRefT22_0x_0" localSheetId="76">'411'!$T$20:$T$27</definedName>
    <definedName name="OSRRefT22_0x_0" localSheetId="77">'412'!$T$20</definedName>
    <definedName name="OSRRefT22_0x_0" localSheetId="78">'413'!$T$20:$T$24</definedName>
    <definedName name="OSRRefT22_0x_0" localSheetId="79">'414'!$T$21</definedName>
    <definedName name="OSRRefT22_0x_0" localSheetId="80">'415'!$T$24:$T$31</definedName>
    <definedName name="OSRRefT22_0x_0" localSheetId="81">'418'!$T$21:$T$28</definedName>
    <definedName name="OSRRefT22_0x_0" localSheetId="82">'423'!$T$20:$T$21</definedName>
    <definedName name="OSRRefT22_0x_0" localSheetId="83">'424'!$T$20</definedName>
    <definedName name="OSRRefT22_0x_0" localSheetId="84">'425'!$T$21:$T$25</definedName>
    <definedName name="OSRRefT22_0x_0" localSheetId="87">'430'!$T$20:$T$27</definedName>
    <definedName name="OSRRefT22_0x_0" localSheetId="88">'433'!$T$25:$T$33</definedName>
    <definedName name="OSRRefT22_0x_0" localSheetId="89">'435'!$T$20</definedName>
    <definedName name="OSRRefT22_0x_0" localSheetId="90">'444'!$T$25:$T$33</definedName>
    <definedName name="OSRRefT22_0x_0" localSheetId="91">'450'!$T$25:$T$33</definedName>
    <definedName name="OSRRefT22_0x_0" localSheetId="73">'491'!$T$25:$T$32</definedName>
    <definedName name="OSRRefT22_0x_0" localSheetId="86">'492'!$T$25:$T$33</definedName>
    <definedName name="OSRRefT22_0x_0" localSheetId="93">'501'!$T$21:$T$28</definedName>
    <definedName name="OSRRefT22_0x_0" localSheetId="39">'Div 2'!$T$20:$T$29</definedName>
    <definedName name="OSRRefT22_0x_0" localSheetId="47">'Div 3'!$T$121:$T$130</definedName>
    <definedName name="OSRRefT22_0x_0" localSheetId="71">'Div 4'!$T$27:$T$35</definedName>
    <definedName name="OSRRefT22_0x_0" localSheetId="92">'Div 5'!$T$21:$T$28</definedName>
    <definedName name="OSRRefT22_0x_0" localSheetId="62">'Div 6'!$T$52:$T$60</definedName>
    <definedName name="OSRRefT22_0x_0" localSheetId="2">Summary!$T$146:$T$155</definedName>
    <definedName name="OSRRefT22_10x_0" localSheetId="41">'201'!$T$50:$T$51</definedName>
    <definedName name="OSRRefT22_10x_0" localSheetId="42">'202'!$T$53</definedName>
    <definedName name="OSRRefT22_10x_0" localSheetId="43">'203'!$T$56</definedName>
    <definedName name="OSRRefT22_10x_0" localSheetId="48">'300'!$T$154</definedName>
    <definedName name="OSRRefT22_10x_0" localSheetId="49">'300 &amp; 317'!$T$176</definedName>
    <definedName name="OSRRefT22_10x_0" localSheetId="50">'301'!$T$56</definedName>
    <definedName name="OSRRefT22_10x_0" localSheetId="53">'307'!$T$68:$T$70</definedName>
    <definedName name="OSRRefT22_10x_0" localSheetId="54">'308'!$T$92</definedName>
    <definedName name="OSRRefT22_10x_0" localSheetId="64">'310'!$T$61:$T$62</definedName>
    <definedName name="OSRRefT22_10x_0" localSheetId="72">'310 &amp; 491'!$T$67</definedName>
    <definedName name="OSRRefT22_10x_0" localSheetId="55">'311'!$T$92</definedName>
    <definedName name="OSRRefT22_10x_0" localSheetId="58">'315'!$T$115:$T$117</definedName>
    <definedName name="OSRRefT22_10x_0" localSheetId="61">'316'!$T$66</definedName>
    <definedName name="OSRRefT22_10x_0" localSheetId="67">'321'!$T$57</definedName>
    <definedName name="OSRRefT22_10x_0" localSheetId="69">'325'!$T$54:$T$56</definedName>
    <definedName name="OSRRefT22_10x_0" localSheetId="59">'326'!$T$77:$T$78</definedName>
    <definedName name="OSRRefT22_10x_0" localSheetId="52">'330'!$T$73:$T$75</definedName>
    <definedName name="OSRRefT22_10x_0" localSheetId="57">'331'!$T$113</definedName>
    <definedName name="OSRRefT22_10x_0" localSheetId="60">'332'!$T$68</definedName>
    <definedName name="OSRRefT22_10x_0" localSheetId="74">'405'!$T$56:$T$57</definedName>
    <definedName name="OSRRefT22_10x_0" localSheetId="76">'411'!$T$54:$T$55</definedName>
    <definedName name="OSRRefT22_10x_0" localSheetId="80">'415'!$T$55:$T$56</definedName>
    <definedName name="OSRRefT22_10x_0" localSheetId="81">'418'!$T$53:$T$55</definedName>
    <definedName name="OSRRefT22_10x_0" localSheetId="88">'433'!$T$56:$T$57</definedName>
    <definedName name="OSRRefT22_10x_0" localSheetId="90">'444'!$T$57:$T$58</definedName>
    <definedName name="OSRRefT22_10x_0" localSheetId="91">'450'!$T$57</definedName>
    <definedName name="OSRRefT22_10x_0" localSheetId="73">'491'!$T$57</definedName>
    <definedName name="OSRRefT22_10x_0" localSheetId="86">'492'!$T$58</definedName>
    <definedName name="OSRRefT22_10x_0" localSheetId="39">'Div 2'!$T$55</definedName>
    <definedName name="OSRRefT22_10x_0" localSheetId="47">'Div 3'!$T$159</definedName>
    <definedName name="OSRRefT22_10x_0" localSheetId="71">'Div 4'!$T$61</definedName>
    <definedName name="OSRRefT22_10x_0" localSheetId="2">Summary!$T$183:$T$184</definedName>
    <definedName name="OSRRefT22_11x_0" localSheetId="41">'201'!$T$53</definedName>
    <definedName name="OSRRefT22_11x_0" localSheetId="42">'202'!$T$55</definedName>
    <definedName name="OSRRefT22_11x_0" localSheetId="43">'203'!$T$58</definedName>
    <definedName name="OSRRefT22_11x_0" localSheetId="48">'300'!$T$156</definedName>
    <definedName name="OSRRefT22_11x_0" localSheetId="49">'300 &amp; 317'!$T$178</definedName>
    <definedName name="OSRRefT22_11x_0" localSheetId="50">'301'!$T$58</definedName>
    <definedName name="OSRRefT22_11x_0" localSheetId="53">'307'!$T$72</definedName>
    <definedName name="OSRRefT22_11x_0" localSheetId="54">'308'!$T$94:$T$95</definedName>
    <definedName name="OSRRefT22_11x_0" localSheetId="64">'310'!$T$64:$T$66</definedName>
    <definedName name="OSRRefT22_11x_0" localSheetId="72">'310 &amp; 491'!$T$69</definedName>
    <definedName name="OSRRefT22_11x_0" localSheetId="55">'311'!$T$94:$T$95</definedName>
    <definedName name="OSRRefT22_11x_0" localSheetId="58">'315'!$T$119</definedName>
    <definedName name="OSRRefT22_11x_0" localSheetId="61">'316'!$T$68</definedName>
    <definedName name="OSRRefT22_11x_0" localSheetId="69">'325'!$T$58:$T$61</definedName>
    <definedName name="OSRRefT22_11x_0" localSheetId="59">'326'!$T$80</definedName>
    <definedName name="OSRRefT22_11x_0" localSheetId="52">'330'!$T$77</definedName>
    <definedName name="OSRRefT22_11x_0" localSheetId="57">'331'!$T$115:$T$116</definedName>
    <definedName name="OSRRefT22_11x_0" localSheetId="60">'332'!$T$70</definedName>
    <definedName name="OSRRefT22_11x_0" localSheetId="74">'405'!$T$59:$T$64</definedName>
    <definedName name="OSRRefT22_11x_0" localSheetId="76">'411'!$T$57:$T$58</definedName>
    <definedName name="OSRRefT22_11x_0" localSheetId="80">'415'!$T$58:$T$61</definedName>
    <definedName name="OSRRefT22_11x_0" localSheetId="81">'418'!$T$57</definedName>
    <definedName name="OSRRefT22_11x_0" localSheetId="88">'433'!$T$59:$T$61</definedName>
    <definedName name="OSRRefT22_11x_0" localSheetId="90">'444'!$T$60:$T$62</definedName>
    <definedName name="OSRRefT22_11x_0" localSheetId="91">'450'!$T$59</definedName>
    <definedName name="OSRRefT22_11x_0" localSheetId="73">'491'!$T$59</definedName>
    <definedName name="OSRRefT22_11x_0" localSheetId="86">'492'!$T$60</definedName>
    <definedName name="OSRRefT22_11x_0" localSheetId="39">'Div 2'!$T$57:$T$59</definedName>
    <definedName name="OSRRefT22_11x_0" localSheetId="47">'Div 3'!$T$161</definedName>
    <definedName name="OSRRefT22_11x_0" localSheetId="71">'Div 4'!$T$63</definedName>
    <definedName name="OSRRefT22_11x_0" localSheetId="2">Summary!$T$186</definedName>
    <definedName name="OSRRefT22_12x_0" localSheetId="48">'300'!$T$158:$T$159</definedName>
    <definedName name="OSRRefT22_12x_0" localSheetId="49">'300 &amp; 317'!$T$180:$T$181</definedName>
    <definedName name="OSRRefT22_12x_0" localSheetId="50">'301'!$T$60</definedName>
    <definedName name="OSRRefT22_12x_0" localSheetId="54">'308'!$T$97:$T$98</definedName>
    <definedName name="OSRRefT22_12x_0" localSheetId="64">'310'!$T$68:$T$72</definedName>
    <definedName name="OSRRefT22_12x_0" localSheetId="72">'310 &amp; 491'!$T$71</definedName>
    <definedName name="OSRRefT22_12x_0" localSheetId="55">'311'!$T$97:$T$98</definedName>
    <definedName name="OSRRefT22_12x_0" localSheetId="58">'315'!$T$121</definedName>
    <definedName name="OSRRefT22_12x_0" localSheetId="69">'325'!$T$63</definedName>
    <definedName name="OSRRefT22_12x_0" localSheetId="59">'326'!$T$82:$T$85</definedName>
    <definedName name="OSRRefT22_12x_0" localSheetId="57">'331'!$T$118:$T$119</definedName>
    <definedName name="OSRRefT22_12x_0" localSheetId="74">'405'!$T$66</definedName>
    <definedName name="OSRRefT22_12x_0" localSheetId="76">'411'!$T$60</definedName>
    <definedName name="OSRRefT22_12x_0" localSheetId="80">'415'!$T$63</definedName>
    <definedName name="OSRRefT22_12x_0" localSheetId="88">'433'!$T$63:$T$69</definedName>
    <definedName name="OSRRefT22_12x_0" localSheetId="90">'444'!$T$64:$T$70</definedName>
    <definedName name="OSRRefT22_12x_0" localSheetId="91">'450'!$T$61</definedName>
    <definedName name="OSRRefT22_12x_0" localSheetId="73">'491'!$T$61</definedName>
    <definedName name="OSRRefT22_12x_0" localSheetId="86">'492'!$T$62:$T$64</definedName>
    <definedName name="OSRRefT22_12x_0" localSheetId="39">'Div 2'!$T$61:$T$63</definedName>
    <definedName name="OSRRefT22_12x_0" localSheetId="47">'Div 3'!$T$163</definedName>
    <definedName name="OSRRefT22_12x_0" localSheetId="71">'Div 4'!$T$65</definedName>
    <definedName name="OSRRefT22_12x_0" localSheetId="2">Summary!$T$188</definedName>
    <definedName name="OSRRefT22_13x_0" localSheetId="48">'300'!$T$161</definedName>
    <definedName name="OSRRefT22_13x_0" localSheetId="49">'300 &amp; 317'!$T$183</definedName>
    <definedName name="OSRRefT22_13x_0" localSheetId="50">'301'!$T$62:$T$65</definedName>
    <definedName name="OSRRefT22_13x_0" localSheetId="54">'308'!$T$100</definedName>
    <definedName name="OSRRefT22_13x_0" localSheetId="64">'310'!$T$74</definedName>
    <definedName name="OSRRefT22_13x_0" localSheetId="72">'310 &amp; 491'!$T$73:$T$75</definedName>
    <definedName name="OSRRefT22_13x_0" localSheetId="55">'311'!$T$100</definedName>
    <definedName name="OSRRefT22_13x_0" localSheetId="69">'325'!$T$65</definedName>
    <definedName name="OSRRefT22_13x_0" localSheetId="59">'326'!$T$87</definedName>
    <definedName name="OSRRefT22_13x_0" localSheetId="57">'331'!$T$121:$T$122</definedName>
    <definedName name="OSRRefT22_13x_0" localSheetId="74">'405'!$T$68</definedName>
    <definedName name="OSRRefT22_13x_0" localSheetId="76">'411'!$T$62</definedName>
    <definedName name="OSRRefT22_13x_0" localSheetId="80">'415'!$T$65:$T$70</definedName>
    <definedName name="OSRRefT22_13x_0" localSheetId="88">'433'!$T$71</definedName>
    <definedName name="OSRRefT22_13x_0" localSheetId="90">'444'!$T$72</definedName>
    <definedName name="OSRRefT22_13x_0" localSheetId="91">'450'!$T$63:$T$64</definedName>
    <definedName name="OSRRefT22_13x_0" localSheetId="73">'491'!$T$63:$T$65</definedName>
    <definedName name="OSRRefT22_13x_0" localSheetId="86">'492'!$T$66:$T$68</definedName>
    <definedName name="OSRRefT22_13x_0" localSheetId="39">'Div 2'!$T$65</definedName>
    <definedName name="OSRRefT22_13x_0" localSheetId="47">'Div 3'!$T$165:$T$166</definedName>
    <definedName name="OSRRefT22_13x_0" localSheetId="71">'Div 4'!$T$67</definedName>
    <definedName name="OSRRefT22_13x_0" localSheetId="2">Summary!$T$190</definedName>
    <definedName name="OSRRefT22_14x_0" localSheetId="48">'300'!$T$163:$T$166</definedName>
    <definedName name="OSRRefT22_14x_0" localSheetId="49">'300 &amp; 317'!$T$185:$T$188</definedName>
    <definedName name="OSRRefT22_14x_0" localSheetId="50">'301'!$T$67:$T$69</definedName>
    <definedName name="OSRRefT22_14x_0" localSheetId="64">'310'!$T$76</definedName>
    <definedName name="OSRRefT22_14x_0" localSheetId="72">'310 &amp; 491'!$T$77:$T$80</definedName>
    <definedName name="OSRRefT22_14x_0" localSheetId="59">'326'!$T$89</definedName>
    <definedName name="OSRRefT22_14x_0" localSheetId="57">'331'!$T$124</definedName>
    <definedName name="OSRRefT22_14x_0" localSheetId="76">'411'!$T$64</definedName>
    <definedName name="OSRRefT22_14x_0" localSheetId="80">'415'!$T$72</definedName>
    <definedName name="OSRRefT22_14x_0" localSheetId="90">'444'!$T$74</definedName>
    <definedName name="OSRRefT22_14x_0" localSheetId="91">'450'!$T$66:$T$70</definedName>
    <definedName name="OSRRefT22_14x_0" localSheetId="73">'491'!$T$67:$T$70</definedName>
    <definedName name="OSRRefT22_14x_0" localSheetId="86">'492'!$T$70:$T$77</definedName>
    <definedName name="OSRRefT22_14x_0" localSheetId="39">'Div 2'!$T$67</definedName>
    <definedName name="OSRRefT22_14x_0" localSheetId="47">'Div 3'!$T$168</definedName>
    <definedName name="OSRRefT22_14x_0" localSheetId="71">'Div 4'!$T$69</definedName>
    <definedName name="OSRRefT22_14x_0" localSheetId="2">Summary!$T$192:$T$193</definedName>
    <definedName name="OSRRefT22_15x_0" localSheetId="48">'300'!$T$168:$T$170</definedName>
    <definedName name="OSRRefT22_15x_0" localSheetId="49">'300 &amp; 317'!$T$190:$T$192</definedName>
    <definedName name="OSRRefT22_15x_0" localSheetId="50">'301'!$T$71</definedName>
    <definedName name="OSRRefT22_15x_0" localSheetId="72">'310 &amp; 491'!$T$82</definedName>
    <definedName name="OSRRefT22_15x_0" localSheetId="59">'326'!$T$91</definedName>
    <definedName name="OSRRefT22_15x_0" localSheetId="57">'331'!$T$126:$T$129</definedName>
    <definedName name="OSRRefT22_15x_0" localSheetId="80">'415'!$T$74</definedName>
    <definedName name="OSRRefT22_15x_0" localSheetId="91">'450'!$T$72</definedName>
    <definedName name="OSRRefT22_15x_0" localSheetId="73">'491'!$T$72</definedName>
    <definedName name="OSRRefT22_15x_0" localSheetId="86">'492'!$T$79</definedName>
    <definedName name="OSRRefT22_15x_0" localSheetId="39">'Div 2'!$T$69:$T$73</definedName>
    <definedName name="OSRRefT22_15x_0" localSheetId="47">'Div 3'!$T$170:$T$173</definedName>
    <definedName name="OSRRefT22_15x_0" localSheetId="71">'Div 4'!$T$71:$T$73</definedName>
    <definedName name="OSRRefT22_15x_0" localSheetId="2">Summary!$T$195</definedName>
    <definedName name="OSRRefT22_16x_0" localSheetId="48">'300'!$T$172:$T$175</definedName>
    <definedName name="OSRRefT22_16x_0" localSheetId="49">'300 &amp; 317'!$T$194:$T$197</definedName>
    <definedName name="OSRRefT22_16x_0" localSheetId="50">'301'!$T$73:$T$77</definedName>
    <definedName name="OSRRefT22_16x_0" localSheetId="72">'310 &amp; 491'!$T$84:$T$90</definedName>
    <definedName name="OSRRefT22_16x_0" localSheetId="57">'331'!$T$131</definedName>
    <definedName name="OSRRefT22_16x_0" localSheetId="91">'450'!$T$74</definedName>
    <definedName name="OSRRefT22_16x_0" localSheetId="73">'491'!$T$74:$T$80</definedName>
    <definedName name="OSRRefT22_16x_0" localSheetId="86">'492'!$T$81</definedName>
    <definedName name="OSRRefT22_16x_0" localSheetId="39">'Div 2'!$T$75:$T$76</definedName>
    <definedName name="OSRRefT22_16x_0" localSheetId="47">'Div 3'!$T$175:$T$177</definedName>
    <definedName name="OSRRefT22_16x_0" localSheetId="71">'Div 4'!$T$75:$T$78</definedName>
    <definedName name="OSRRefT22_16x_0" localSheetId="2">Summary!$T$197</definedName>
    <definedName name="OSRRefT22_17x_0" localSheetId="48">'300'!$T$177:$T$178</definedName>
    <definedName name="OSRRefT22_17x_0" localSheetId="49">'300 &amp; 317'!$T$199:$T$200</definedName>
    <definedName name="OSRRefT22_17x_0" localSheetId="50">'301'!$T$79</definedName>
    <definedName name="OSRRefT22_17x_0" localSheetId="72">'310 &amp; 491'!$T$92</definedName>
    <definedName name="OSRRefT22_17x_0" localSheetId="57">'331'!$T$133</definedName>
    <definedName name="OSRRefT22_17x_0" localSheetId="73">'491'!$T$82</definedName>
    <definedName name="OSRRefT22_17x_0" localSheetId="86">'492'!$T$83:$T$84</definedName>
    <definedName name="OSRRefT22_17x_0" localSheetId="39">'Div 2'!$T$78</definedName>
    <definedName name="OSRRefT22_17x_0" localSheetId="47">'Div 3'!$T$179:$T$183</definedName>
    <definedName name="OSRRefT22_17x_0" localSheetId="71">'Div 4'!$T$80</definedName>
    <definedName name="OSRRefT22_17x_0" localSheetId="2">Summary!$T$199:$T$202</definedName>
    <definedName name="OSRRefT22_18x_0" localSheetId="48">'300'!$T$180:$T$185</definedName>
    <definedName name="OSRRefT22_18x_0" localSheetId="49">'300 &amp; 317'!$T$202:$T$207</definedName>
    <definedName name="OSRRefT22_18x_0" localSheetId="50">'301'!$T$81</definedName>
    <definedName name="OSRRefT22_18x_0" localSheetId="72">'310 &amp; 491'!$T$94</definedName>
    <definedName name="OSRRefT22_18x_0" localSheetId="57">'331'!$T$135</definedName>
    <definedName name="OSRRefT22_18x_0" localSheetId="73">'491'!$T$84</definedName>
    <definedName name="OSRRefT22_18x_0" localSheetId="39">'Div 2'!$T$80</definedName>
    <definedName name="OSRRefT22_18x_0" localSheetId="47">'Div 3'!$T$185:$T$186</definedName>
    <definedName name="OSRRefT22_18x_0" localSheetId="71">'Div 4'!$T$82:$T$89</definedName>
    <definedName name="OSRRefT22_18x_0" localSheetId="2">Summary!$T$204:$T$206</definedName>
    <definedName name="OSRRefT22_19x_0" localSheetId="48">'300'!$T$187:$T$188</definedName>
    <definedName name="OSRRefT22_19x_0" localSheetId="49">'300 &amp; 317'!$T$209:$T$210</definedName>
    <definedName name="OSRRefT22_19x_0" localSheetId="50">'301'!$T$83:$T$84</definedName>
    <definedName name="OSRRefT22_19x_0" localSheetId="72">'310 &amp; 491'!$T$96</definedName>
    <definedName name="OSRRefT22_19x_0" localSheetId="73">'491'!$T$86</definedName>
    <definedName name="OSRRefT22_19x_0" localSheetId="47">'Div 3'!$T$188:$T$194</definedName>
    <definedName name="OSRRefT22_19x_0" localSheetId="71">'Div 4'!$T$91</definedName>
    <definedName name="OSRRefT22_19x_0" localSheetId="2">Summary!$T$208:$T$212</definedName>
    <definedName name="OSRRefT22_1x_0" localSheetId="40">'200'!$T$22</definedName>
    <definedName name="OSRRefT22_1x_0" localSheetId="41">'201'!$T$29:$T$30</definedName>
    <definedName name="OSRRefT22_1x_0" localSheetId="42">'202'!$T$29:$T$31</definedName>
    <definedName name="OSRRefT22_1x_0" localSheetId="43">'203'!$T$30:$T$33</definedName>
    <definedName name="OSRRefT22_1x_0" localSheetId="44">'204'!$T$30:$T$32</definedName>
    <definedName name="OSRRefT22_1x_0" localSheetId="45">'205'!$T$29</definedName>
    <definedName name="OSRRefT22_1x_0" localSheetId="46">'206'!$T$28:$T$30</definedName>
    <definedName name="OSRRefT22_1x_0" localSheetId="48">'300'!$T$127:$T$133</definedName>
    <definedName name="OSRRefT22_1x_0" localSheetId="49">'300 &amp; 317'!$T$149:$T$155</definedName>
    <definedName name="OSRRefT22_1x_0" localSheetId="50">'301'!$T$31:$T$37</definedName>
    <definedName name="OSRRefT22_1x_0" localSheetId="51">'306'!$T$25:$T$26</definedName>
    <definedName name="OSRRefT22_1x_0" localSheetId="53">'307'!$T$46:$T$47</definedName>
    <definedName name="OSRRefT22_1x_0" localSheetId="54">'308'!$T$66:$T$72</definedName>
    <definedName name="OSRRefT22_1x_0" localSheetId="65">'309'!$T$22:$T$23</definedName>
    <definedName name="OSRRefT22_1x_0" localSheetId="64">'310'!$T$40:$T$42</definedName>
    <definedName name="OSRRefT22_1x_0" localSheetId="72">'310 &amp; 491'!$T$43:$T$47</definedName>
    <definedName name="OSRRefT22_1x_0" localSheetId="55">'311'!$T$66:$T$72</definedName>
    <definedName name="OSRRefT22_1x_0" localSheetId="66">'313'!$T$34</definedName>
    <definedName name="OSRRefT22_1x_0" localSheetId="58">'315'!$T$88:$T$92</definedName>
    <definedName name="OSRRefT22_1x_0" localSheetId="61">'316'!$T$40:$T$42</definedName>
    <definedName name="OSRRefT22_1x_0" localSheetId="63">'317'!$T$62:$T$66</definedName>
    <definedName name="OSRRefT22_1x_0" localSheetId="67">'321'!$T$32:$T$34</definedName>
    <definedName name="OSRRefT22_1x_0" localSheetId="68">'322'!$T$27</definedName>
    <definedName name="OSRRefT22_1x_0" localSheetId="69">'325'!$T$32:$T$34</definedName>
    <definedName name="OSRRefT22_1x_0" localSheetId="59">'326'!$T$54:$T$58</definedName>
    <definedName name="OSRRefT22_1x_0" localSheetId="52">'330'!$T$50:$T$51</definedName>
    <definedName name="OSRRefT22_1x_0" localSheetId="57">'331'!$T$88:$T$92</definedName>
    <definedName name="OSRRefT22_1x_0" localSheetId="60">'332'!$T$42:$T$44</definedName>
    <definedName name="OSRRefT22_1x_0" localSheetId="74">'405'!$T$33:$T$36</definedName>
    <definedName name="OSRRefT22_1x_0" localSheetId="75">'406'!$T$22</definedName>
    <definedName name="OSRRefT22_1x_0" localSheetId="76">'411'!$T$29:$T$33</definedName>
    <definedName name="OSRRefT22_1x_0" localSheetId="77">'412'!$T$22</definedName>
    <definedName name="OSRRefT22_1x_0" localSheetId="78">'413'!$T$26</definedName>
    <definedName name="OSRRefT22_1x_0" localSheetId="79">'414'!$T$23</definedName>
    <definedName name="OSRRefT22_1x_0" localSheetId="80">'415'!$T$33:$T$36</definedName>
    <definedName name="OSRRefT22_1x_0" localSheetId="81">'418'!$T$30:$T$33</definedName>
    <definedName name="OSRRefT22_1x_0" localSheetId="82">'423'!$T$23</definedName>
    <definedName name="OSRRefT22_1x_0" localSheetId="83">'424'!$T$22</definedName>
    <definedName name="OSRRefT22_1x_0" localSheetId="84">'425'!$T$27</definedName>
    <definedName name="OSRRefT22_1x_0" localSheetId="87">'430'!$T$29</definedName>
    <definedName name="OSRRefT22_1x_0" localSheetId="88">'433'!$T$35:$T$38</definedName>
    <definedName name="OSRRefT22_1x_0" localSheetId="90">'444'!$T$35:$T$39</definedName>
    <definedName name="OSRRefT22_1x_0" localSheetId="91">'450'!$T$35:$T$39</definedName>
    <definedName name="OSRRefT22_1x_0" localSheetId="73">'491'!$T$34:$T$38</definedName>
    <definedName name="OSRRefT22_1x_0" localSheetId="86">'492'!$T$35:$T$40</definedName>
    <definedName name="OSRRefT22_1x_0" localSheetId="93">'501'!$T$30:$T$35</definedName>
    <definedName name="OSRRefT22_1x_0" localSheetId="39">'Div 2'!$T$31:$T$36</definedName>
    <definedName name="OSRRefT22_1x_0" localSheetId="47">'Div 3'!$T$132:$T$138</definedName>
    <definedName name="OSRRefT22_1x_0" localSheetId="71">'Div 4'!$T$37:$T$42</definedName>
    <definedName name="OSRRefT22_1x_0" localSheetId="92">'Div 5'!$T$30:$T$35</definedName>
    <definedName name="OSRRefT22_1x_0" localSheetId="62">'Div 6'!$T$62:$T$66</definedName>
    <definedName name="OSRRefT22_1x_0" localSheetId="2">Summary!$T$157:$T$163</definedName>
    <definedName name="OSRRefT22_20x_0" localSheetId="48">'300'!$T$190</definedName>
    <definedName name="OSRRefT22_20x_0" localSheetId="49">'300 &amp; 317'!$T$212</definedName>
    <definedName name="OSRRefT22_20x_0" localSheetId="50">'301'!$T$86</definedName>
    <definedName name="OSRRefT22_20x_0" localSheetId="47">'Div 3'!$T$196:$T$197</definedName>
    <definedName name="OSRRefT22_20x_0" localSheetId="71">'Div 4'!$T$93</definedName>
    <definedName name="OSRRefT22_20x_0" localSheetId="2">Summary!$T$214:$T$215</definedName>
    <definedName name="OSRRefT22_21x_0" localSheetId="48">'300'!$T$192:$T$194</definedName>
    <definedName name="OSRRefT22_21x_0" localSheetId="49">'300 &amp; 317'!$T$214:$T$216</definedName>
    <definedName name="OSRRefT22_21x_0" localSheetId="47">'Div 3'!$T$199</definedName>
    <definedName name="OSRRefT22_21x_0" localSheetId="71">'Div 4'!$T$95:$T$96</definedName>
    <definedName name="OSRRefT22_21x_0" localSheetId="2">Summary!$T$217:$T$225</definedName>
    <definedName name="OSRRefT22_22x_0" localSheetId="48">'300'!$T$196</definedName>
    <definedName name="OSRRefT22_22x_0" localSheetId="49">'300 &amp; 317'!$T$218</definedName>
    <definedName name="OSRRefT22_22x_0" localSheetId="47">'Div 3'!$T$201:$T$203</definedName>
    <definedName name="OSRRefT22_22x_0" localSheetId="71">'Div 4'!$T$98</definedName>
    <definedName name="OSRRefT22_22x_0" localSheetId="2">Summary!$T$227:$T$228</definedName>
    <definedName name="OSRRefT22_23x_0" localSheetId="47">'Div 3'!$T$205</definedName>
    <definedName name="OSRRefT22_23x_0" localSheetId="2">Summary!$T$230</definedName>
    <definedName name="OSRRefT22_24x_0" localSheetId="2">Summary!$T$232:$T$234</definedName>
    <definedName name="OSRRefT22_25x_0" localSheetId="2">Summary!$T$236</definedName>
    <definedName name="OSRRefT22_2x_0" localSheetId="40">'200'!$T$24</definedName>
    <definedName name="OSRRefT22_2x_0" localSheetId="41">'201'!$T$32</definedName>
    <definedName name="OSRRefT22_2x_0" localSheetId="42">'202'!$T$33</definedName>
    <definedName name="OSRRefT22_2x_0" localSheetId="43">'203'!$T$35</definedName>
    <definedName name="OSRRefT22_2x_0" localSheetId="44">'204'!$T$34</definedName>
    <definedName name="OSRRefT22_2x_0" localSheetId="45">'205'!$T$31</definedName>
    <definedName name="OSRRefT22_2x_0" localSheetId="46">'206'!$T$32</definedName>
    <definedName name="OSRRefT22_2x_0" localSheetId="48">'300'!$T$135</definedName>
    <definedName name="OSRRefT22_2x_0" localSheetId="49">'300 &amp; 317'!$T$157</definedName>
    <definedName name="OSRRefT22_2x_0" localSheetId="50">'301'!$T$39</definedName>
    <definedName name="OSRRefT22_2x_0" localSheetId="51">'306'!$T$28</definedName>
    <definedName name="OSRRefT22_2x_0" localSheetId="53">'307'!$T$49</definedName>
    <definedName name="OSRRefT22_2x_0" localSheetId="54">'308'!$T$74</definedName>
    <definedName name="OSRRefT22_2x_0" localSheetId="65">'309'!$T$25:$T$26</definedName>
    <definedName name="OSRRefT22_2x_0" localSheetId="64">'310'!$T$44</definedName>
    <definedName name="OSRRefT22_2x_0" localSheetId="72">'310 &amp; 491'!$T$49</definedName>
    <definedName name="OSRRefT22_2x_0" localSheetId="55">'311'!$T$74</definedName>
    <definedName name="OSRRefT22_2x_0" localSheetId="66">'313'!$T$36</definedName>
    <definedName name="OSRRefT22_2x_0" localSheetId="58">'315'!$T$94</definedName>
    <definedName name="OSRRefT22_2x_0" localSheetId="61">'316'!$T$44</definedName>
    <definedName name="OSRRefT22_2x_0" localSheetId="63">'317'!$T$68</definedName>
    <definedName name="OSRRefT22_2x_0" localSheetId="67">'321'!$T$36</definedName>
    <definedName name="OSRRefT22_2x_0" localSheetId="68">'322'!$T$29</definedName>
    <definedName name="OSRRefT22_2x_0" localSheetId="69">'325'!$T$36</definedName>
    <definedName name="OSRRefT22_2x_0" localSheetId="59">'326'!$T$60</definedName>
    <definedName name="OSRRefT22_2x_0" localSheetId="52">'330'!$T$53</definedName>
    <definedName name="OSRRefT22_2x_0" localSheetId="57">'331'!$T$94</definedName>
    <definedName name="OSRRefT22_2x_0" localSheetId="60">'332'!$T$46</definedName>
    <definedName name="OSRRefT22_2x_0" localSheetId="74">'405'!$T$38</definedName>
    <definedName name="OSRRefT22_2x_0" localSheetId="75">'406'!$T$24</definedName>
    <definedName name="OSRRefT22_2x_0" localSheetId="76">'411'!$T$35</definedName>
    <definedName name="OSRRefT22_2x_0" localSheetId="77">'412'!$T$24</definedName>
    <definedName name="OSRRefT22_2x_0" localSheetId="78">'413'!$T$28</definedName>
    <definedName name="OSRRefT22_2x_0" localSheetId="79">'414'!$T$25</definedName>
    <definedName name="OSRRefT22_2x_0" localSheetId="80">'415'!$T$38</definedName>
    <definedName name="OSRRefT22_2x_0" localSheetId="81">'418'!$T$35</definedName>
    <definedName name="OSRRefT22_2x_0" localSheetId="82">'423'!$T$25</definedName>
    <definedName name="OSRRefT22_2x_0" localSheetId="83">'424'!$T$24</definedName>
    <definedName name="OSRRefT22_2x_0" localSheetId="84">'425'!$T$29</definedName>
    <definedName name="OSRRefT22_2x_0" localSheetId="87">'430'!$T$31</definedName>
    <definedName name="OSRRefT22_2x_0" localSheetId="88">'433'!$T$40</definedName>
    <definedName name="OSRRefT22_2x_0" localSheetId="90">'444'!$T$41</definedName>
    <definedName name="OSRRefT22_2x_0" localSheetId="91">'450'!$T$41</definedName>
    <definedName name="OSRRefT22_2x_0" localSheetId="73">'491'!$T$40</definedName>
    <definedName name="OSRRefT22_2x_0" localSheetId="86">'492'!$T$42</definedName>
    <definedName name="OSRRefT22_2x_0" localSheetId="93">'501'!$T$37</definedName>
    <definedName name="OSRRefT22_2x_0" localSheetId="39">'Div 2'!$T$38</definedName>
    <definedName name="OSRRefT22_2x_0" localSheetId="47">'Div 3'!$T$140</definedName>
    <definedName name="OSRRefT22_2x_0" localSheetId="71">'Div 4'!$T$44</definedName>
    <definedName name="OSRRefT22_2x_0" localSheetId="92">'Div 5'!$T$37</definedName>
    <definedName name="OSRRefT22_2x_0" localSheetId="62">'Div 6'!$T$68</definedName>
    <definedName name="OSRRefT22_2x_0" localSheetId="2">Summary!$T$165</definedName>
    <definedName name="OSRRefT22_3x_0" localSheetId="40">'200'!$T$26</definedName>
    <definedName name="OSRRefT22_3x_0" localSheetId="41">'201'!$T$34</definedName>
    <definedName name="OSRRefT22_3x_0" localSheetId="42">'202'!$T$35</definedName>
    <definedName name="OSRRefT22_3x_0" localSheetId="43">'203'!$T$37</definedName>
    <definedName name="OSRRefT22_3x_0" localSheetId="44">'204'!$T$36</definedName>
    <definedName name="OSRRefT22_3x_0" localSheetId="45">'205'!$T$33:$T$34</definedName>
    <definedName name="OSRRefT22_3x_0" localSheetId="46">'206'!$T$34</definedName>
    <definedName name="OSRRefT22_3x_0" localSheetId="48">'300'!$T$137</definedName>
    <definedName name="OSRRefT22_3x_0" localSheetId="49">'300 &amp; 317'!$T$159</definedName>
    <definedName name="OSRRefT22_3x_0" localSheetId="50">'301'!$T$41</definedName>
    <definedName name="OSRRefT22_3x_0" localSheetId="51">'306'!$T$30</definedName>
    <definedName name="OSRRefT22_3x_0" localSheetId="53">'307'!$T$51</definedName>
    <definedName name="OSRRefT22_3x_0" localSheetId="54">'308'!$T$76</definedName>
    <definedName name="OSRRefT22_3x_0" localSheetId="65">'309'!$T$28</definedName>
    <definedName name="OSRRefT22_3x_0" localSheetId="64">'310'!$T$46</definedName>
    <definedName name="OSRRefT22_3x_0" localSheetId="72">'310 &amp; 491'!$T$51</definedName>
    <definedName name="OSRRefT22_3x_0" localSheetId="55">'311'!$T$76</definedName>
    <definedName name="OSRRefT22_3x_0" localSheetId="66">'313'!$T$38</definedName>
    <definedName name="OSRRefT22_3x_0" localSheetId="58">'315'!$T$96:$T$97</definedName>
    <definedName name="OSRRefT22_3x_0" localSheetId="61">'316'!$T$46</definedName>
    <definedName name="OSRRefT22_3x_0" localSheetId="63">'317'!$T$70</definedName>
    <definedName name="OSRRefT22_3x_0" localSheetId="67">'321'!$T$38</definedName>
    <definedName name="OSRRefT22_3x_0" localSheetId="68">'322'!$T$31</definedName>
    <definedName name="OSRRefT22_3x_0" localSheetId="69">'325'!$T$38</definedName>
    <definedName name="OSRRefT22_3x_0" localSheetId="59">'326'!$T$62</definedName>
    <definedName name="OSRRefT22_3x_0" localSheetId="52">'330'!$T$55</definedName>
    <definedName name="OSRRefT22_3x_0" localSheetId="57">'331'!$T$96</definedName>
    <definedName name="OSRRefT22_3x_0" localSheetId="60">'332'!$T$48</definedName>
    <definedName name="OSRRefT22_3x_0" localSheetId="74">'405'!$T$40</definedName>
    <definedName name="OSRRefT22_3x_0" localSheetId="75">'406'!$T$26</definedName>
    <definedName name="OSRRefT22_3x_0" localSheetId="76">'411'!$T$37:$T$38</definedName>
    <definedName name="OSRRefT22_3x_0" localSheetId="77">'412'!$T$26</definedName>
    <definedName name="OSRRefT22_3x_0" localSheetId="78">'413'!$T$30</definedName>
    <definedName name="OSRRefT22_3x_0" localSheetId="79">'414'!$T$27</definedName>
    <definedName name="OSRRefT22_3x_0" localSheetId="80">'415'!$T$40</definedName>
    <definedName name="OSRRefT22_3x_0" localSheetId="81">'418'!$T$37</definedName>
    <definedName name="OSRRefT22_3x_0" localSheetId="82">'423'!$T$27</definedName>
    <definedName name="OSRRefT22_3x_0" localSheetId="83">'424'!$T$26</definedName>
    <definedName name="OSRRefT22_3x_0" localSheetId="84">'425'!$T$31</definedName>
    <definedName name="OSRRefT22_3x_0" localSheetId="87">'430'!$T$33</definedName>
    <definedName name="OSRRefT22_3x_0" localSheetId="88">'433'!$T$42</definedName>
    <definedName name="OSRRefT22_3x_0" localSheetId="90">'444'!$T$43</definedName>
    <definedName name="OSRRefT22_3x_0" localSheetId="91">'450'!$T$43</definedName>
    <definedName name="OSRRefT22_3x_0" localSheetId="73">'491'!$T$42</definedName>
    <definedName name="OSRRefT22_3x_0" localSheetId="86">'492'!$T$44</definedName>
    <definedName name="OSRRefT22_3x_0" localSheetId="93">'501'!$T$39</definedName>
    <definedName name="OSRRefT22_3x_0" localSheetId="39">'Div 2'!$T$40</definedName>
    <definedName name="OSRRefT22_3x_0" localSheetId="47">'Div 3'!$T$142</definedName>
    <definedName name="OSRRefT22_3x_0" localSheetId="71">'Div 4'!$T$46</definedName>
    <definedName name="OSRRefT22_3x_0" localSheetId="92">'Div 5'!$T$39</definedName>
    <definedName name="OSRRefT22_3x_0" localSheetId="62">'Div 6'!$T$70</definedName>
    <definedName name="OSRRefT22_3x_0" localSheetId="2">Summary!$T$167</definedName>
    <definedName name="OSRRefT22_4x_0" localSheetId="41">'201'!$T$36</definedName>
    <definedName name="OSRRefT22_4x_0" localSheetId="42">'202'!$T$37:$T$38</definedName>
    <definedName name="OSRRefT22_4x_0" localSheetId="43">'203'!$T$39</definedName>
    <definedName name="OSRRefT22_4x_0" localSheetId="44">'204'!$T$38:$T$40</definedName>
    <definedName name="OSRRefT22_4x_0" localSheetId="45">'205'!$T$36:$T$37</definedName>
    <definedName name="OSRRefT22_4x_0" localSheetId="46">'206'!$T$36</definedName>
    <definedName name="OSRRefT22_4x_0" localSheetId="48">'300'!$T$139</definedName>
    <definedName name="OSRRefT22_4x_0" localSheetId="49">'300 &amp; 317'!$T$161</definedName>
    <definedName name="OSRRefT22_4x_0" localSheetId="50">'301'!$T$43</definedName>
    <definedName name="OSRRefT22_4x_0" localSheetId="51">'306'!$T$32</definedName>
    <definedName name="OSRRefT22_4x_0" localSheetId="53">'307'!$T$53:$T$54</definedName>
    <definedName name="OSRRefT22_4x_0" localSheetId="54">'308'!$T$78</definedName>
    <definedName name="OSRRefT22_4x_0" localSheetId="64">'310'!$T$48</definedName>
    <definedName name="OSRRefT22_4x_0" localSheetId="72">'310 &amp; 491'!$T$53</definedName>
    <definedName name="OSRRefT22_4x_0" localSheetId="55">'311'!$T$78</definedName>
    <definedName name="OSRRefT22_4x_0" localSheetId="66">'313'!$T$40</definedName>
    <definedName name="OSRRefT22_4x_0" localSheetId="58">'315'!$T$99</definedName>
    <definedName name="OSRRefT22_4x_0" localSheetId="61">'316'!$T$48</definedName>
    <definedName name="OSRRefT22_4x_0" localSheetId="63">'317'!$T$72</definedName>
    <definedName name="OSRRefT22_4x_0" localSheetId="67">'321'!$T$40</definedName>
    <definedName name="OSRRefT22_4x_0" localSheetId="68">'322'!$T$33:$T$34</definedName>
    <definedName name="OSRRefT22_4x_0" localSheetId="69">'325'!$T$40</definedName>
    <definedName name="OSRRefT22_4x_0" localSheetId="59">'326'!$T$64</definedName>
    <definedName name="OSRRefT22_4x_0" localSheetId="52">'330'!$T$57:$T$58</definedName>
    <definedName name="OSRRefT22_4x_0" localSheetId="57">'331'!$T$98</definedName>
    <definedName name="OSRRefT22_4x_0" localSheetId="60">'332'!$T$50</definedName>
    <definedName name="OSRRefT22_4x_0" localSheetId="74">'405'!$T$42</definedName>
    <definedName name="OSRRefT22_4x_0" localSheetId="75">'406'!$T$28</definedName>
    <definedName name="OSRRefT22_4x_0" localSheetId="76">'411'!$T$40</definedName>
    <definedName name="OSRRefT22_4x_0" localSheetId="77">'412'!$T$28</definedName>
    <definedName name="OSRRefT22_4x_0" localSheetId="78">'413'!$T$32</definedName>
    <definedName name="OSRRefT22_4x_0" localSheetId="79">'414'!$T$29:$T$30</definedName>
    <definedName name="OSRRefT22_4x_0" localSheetId="80">'415'!$T$42</definedName>
    <definedName name="OSRRefT22_4x_0" localSheetId="81">'418'!$T$39:$T$40</definedName>
    <definedName name="OSRRefT22_4x_0" localSheetId="84">'425'!$T$33</definedName>
    <definedName name="OSRRefT22_4x_0" localSheetId="87">'430'!$T$35:$T$36</definedName>
    <definedName name="OSRRefT22_4x_0" localSheetId="88">'433'!$T$44</definedName>
    <definedName name="OSRRefT22_4x_0" localSheetId="90">'444'!$T$45</definedName>
    <definedName name="OSRRefT22_4x_0" localSheetId="91">'450'!$T$45</definedName>
    <definedName name="OSRRefT22_4x_0" localSheetId="73">'491'!$T$44</definedName>
    <definedName name="OSRRefT22_4x_0" localSheetId="86">'492'!$T$46</definedName>
    <definedName name="OSRRefT22_4x_0" localSheetId="93">'501'!$T$41:$T$42</definedName>
    <definedName name="OSRRefT22_4x_0" localSheetId="39">'Div 2'!$T$42</definedName>
    <definedName name="OSRRefT22_4x_0" localSheetId="47">'Div 3'!$T$144</definedName>
    <definedName name="OSRRefT22_4x_0" localSheetId="71">'Div 4'!$T$48</definedName>
    <definedName name="OSRRefT22_4x_0" localSheetId="92">'Div 5'!$T$41:$T$42</definedName>
    <definedName name="OSRRefT22_4x_0" localSheetId="62">'Div 6'!$T$72</definedName>
    <definedName name="OSRRefT22_4x_0" localSheetId="2">Summary!$T$169</definedName>
    <definedName name="OSRRefT22_5x_0" localSheetId="41">'201'!$T$38</definedName>
    <definedName name="OSRRefT22_5x_0" localSheetId="42">'202'!$T$40</definedName>
    <definedName name="OSRRefT22_5x_0" localSheetId="43">'203'!$T$41</definedName>
    <definedName name="OSRRefT22_5x_0" localSheetId="44">'204'!$T$42</definedName>
    <definedName name="OSRRefT22_5x_0" localSheetId="45">'205'!$T$39</definedName>
    <definedName name="OSRRefT22_5x_0" localSheetId="46">'206'!$T$38</definedName>
    <definedName name="OSRRefT22_5x_0" localSheetId="48">'300'!$T$141:$T$142</definedName>
    <definedName name="OSRRefT22_5x_0" localSheetId="49">'300 &amp; 317'!$T$163:$T$164</definedName>
    <definedName name="OSRRefT22_5x_0" localSheetId="50">'301'!$T$45:$T$46</definedName>
    <definedName name="OSRRefT22_5x_0" localSheetId="51">'306'!$T$34</definedName>
    <definedName name="OSRRefT22_5x_0" localSheetId="53">'307'!$T$56</definedName>
    <definedName name="OSRRefT22_5x_0" localSheetId="54">'308'!$T$80</definedName>
    <definedName name="OSRRefT22_5x_0" localSheetId="64">'310'!$T$50:$T$51</definedName>
    <definedName name="OSRRefT22_5x_0" localSheetId="72">'310 &amp; 491'!$T$55:$T$56</definedName>
    <definedName name="OSRRefT22_5x_0" localSheetId="55">'311'!$T$80</definedName>
    <definedName name="OSRRefT22_5x_0" localSheetId="66">'313'!$T$42</definedName>
    <definedName name="OSRRefT22_5x_0" localSheetId="58">'315'!$T$101:$T$102</definedName>
    <definedName name="OSRRefT22_5x_0" localSheetId="61">'316'!$T$50:$T$51</definedName>
    <definedName name="OSRRefT22_5x_0" localSheetId="63">'317'!$T$74:$T$75</definedName>
    <definedName name="OSRRefT22_5x_0" localSheetId="67">'321'!$T$42</definedName>
    <definedName name="OSRRefT22_5x_0" localSheetId="68">'322'!$T$36</definedName>
    <definedName name="OSRRefT22_5x_0" localSheetId="69">'325'!$T$42:$T$43</definedName>
    <definedName name="OSRRefT22_5x_0" localSheetId="59">'326'!$T$66</definedName>
    <definedName name="OSRRefT22_5x_0" localSheetId="52">'330'!$T$60:$T$61</definedName>
    <definedName name="OSRRefT22_5x_0" localSheetId="57">'331'!$T$100:$T$101</definedName>
    <definedName name="OSRRefT22_5x_0" localSheetId="60">'332'!$T$52:$T$53</definedName>
    <definedName name="OSRRefT22_5x_0" localSheetId="74">'405'!$T$44:$T$45</definedName>
    <definedName name="OSRRefT22_5x_0" localSheetId="76">'411'!$T$42</definedName>
    <definedName name="OSRRefT22_5x_0" localSheetId="78">'413'!$T$34</definedName>
    <definedName name="OSRRefT22_5x_0" localSheetId="80">'415'!$T$44:$T$45</definedName>
    <definedName name="OSRRefT22_5x_0" localSheetId="81">'418'!$T$42</definedName>
    <definedName name="OSRRefT22_5x_0" localSheetId="87">'430'!$T$38</definedName>
    <definedName name="OSRRefT22_5x_0" localSheetId="88">'433'!$T$46</definedName>
    <definedName name="OSRRefT22_5x_0" localSheetId="90">'444'!$T$47</definedName>
    <definedName name="OSRRefT22_5x_0" localSheetId="91">'450'!$T$47</definedName>
    <definedName name="OSRRefT22_5x_0" localSheetId="73">'491'!$T$46:$T$47</definedName>
    <definedName name="OSRRefT22_5x_0" localSheetId="86">'492'!$T$48</definedName>
    <definedName name="OSRRefT22_5x_0" localSheetId="93">'501'!$T$44</definedName>
    <definedName name="OSRRefT22_5x_0" localSheetId="39">'Div 2'!$T$44</definedName>
    <definedName name="OSRRefT22_5x_0" localSheetId="47">'Div 3'!$T$146:$T$147</definedName>
    <definedName name="OSRRefT22_5x_0" localSheetId="71">'Div 4'!$T$50:$T$51</definedName>
    <definedName name="OSRRefT22_5x_0" localSheetId="92">'Div 5'!$T$44</definedName>
    <definedName name="OSRRefT22_5x_0" localSheetId="62">'Div 6'!$T$74:$T$75</definedName>
    <definedName name="OSRRefT22_5x_0" localSheetId="2">Summary!$T$171:$T$172</definedName>
    <definedName name="OSRRefT22_6x_0" localSheetId="41">'201'!$T$40</definedName>
    <definedName name="OSRRefT22_6x_0" localSheetId="42">'202'!$T$42:$T$44</definedName>
    <definedName name="OSRRefT22_6x_0" localSheetId="43">'203'!$T$43:$T$44</definedName>
    <definedName name="OSRRefT22_6x_0" localSheetId="44">'204'!$T$44:$T$45</definedName>
    <definedName name="OSRRefT22_6x_0" localSheetId="46">'206'!$T$40</definedName>
    <definedName name="OSRRefT22_6x_0" localSheetId="48">'300'!$T$144:$T$145</definedName>
    <definedName name="OSRRefT22_6x_0" localSheetId="49">'300 &amp; 317'!$T$166:$T$167</definedName>
    <definedName name="OSRRefT22_6x_0" localSheetId="50">'301'!$T$48</definedName>
    <definedName name="OSRRefT22_6x_0" localSheetId="53">'307'!$T$58</definedName>
    <definedName name="OSRRefT22_6x_0" localSheetId="54">'308'!$T$82</definedName>
    <definedName name="OSRRefT22_6x_0" localSheetId="64">'310'!$T$53</definedName>
    <definedName name="OSRRefT22_6x_0" localSheetId="72">'310 &amp; 491'!$T$58</definedName>
    <definedName name="OSRRefT22_6x_0" localSheetId="55">'311'!$T$82</definedName>
    <definedName name="OSRRefT22_6x_0" localSheetId="66">'313'!$T$44</definedName>
    <definedName name="OSRRefT22_6x_0" localSheetId="58">'315'!$T$104:$T$105</definedName>
    <definedName name="OSRRefT22_6x_0" localSheetId="61">'316'!$T$53</definedName>
    <definedName name="OSRRefT22_6x_0" localSheetId="63">'317'!$T$77</definedName>
    <definedName name="OSRRefT22_6x_0" localSheetId="67">'321'!$T$44:$T$45</definedName>
    <definedName name="OSRRefT22_6x_0" localSheetId="68">'322'!$T$38</definedName>
    <definedName name="OSRRefT22_6x_0" localSheetId="69">'325'!$T$45</definedName>
    <definedName name="OSRRefT22_6x_0" localSheetId="59">'326'!$T$68</definedName>
    <definedName name="OSRRefT22_6x_0" localSheetId="52">'330'!$T$63</definedName>
    <definedName name="OSRRefT22_6x_0" localSheetId="57">'331'!$T$103</definedName>
    <definedName name="OSRRefT22_6x_0" localSheetId="60">'332'!$T$55</definedName>
    <definedName name="OSRRefT22_6x_0" localSheetId="74">'405'!$T$47</definedName>
    <definedName name="OSRRefT22_6x_0" localSheetId="76">'411'!$T$44</definedName>
    <definedName name="OSRRefT22_6x_0" localSheetId="80">'415'!$T$47</definedName>
    <definedName name="OSRRefT22_6x_0" localSheetId="81">'418'!$T$44</definedName>
    <definedName name="OSRRefT22_6x_0" localSheetId="87">'430'!$T$40</definedName>
    <definedName name="OSRRefT22_6x_0" localSheetId="88">'433'!$T$48</definedName>
    <definedName name="OSRRefT22_6x_0" localSheetId="90">'444'!$T$49</definedName>
    <definedName name="OSRRefT22_6x_0" localSheetId="91">'450'!$T$49</definedName>
    <definedName name="OSRRefT22_6x_0" localSheetId="73">'491'!$T$49</definedName>
    <definedName name="OSRRefT22_6x_0" localSheetId="86">'492'!$T$50</definedName>
    <definedName name="OSRRefT22_6x_0" localSheetId="93">'501'!$T$46</definedName>
    <definedName name="OSRRefT22_6x_0" localSheetId="39">'Div 2'!$T$46</definedName>
    <definedName name="OSRRefT22_6x_0" localSheetId="47">'Div 3'!$T$149:$T$150</definedName>
    <definedName name="OSRRefT22_6x_0" localSheetId="71">'Div 4'!$T$53</definedName>
    <definedName name="OSRRefT22_6x_0" localSheetId="92">'Div 5'!$T$46</definedName>
    <definedName name="OSRRefT22_6x_0" localSheetId="62">'Div 6'!$T$77</definedName>
    <definedName name="OSRRefT22_6x_0" localSheetId="2">Summary!$T$174:$T$175</definedName>
    <definedName name="OSRRefT22_7x_0" localSheetId="41">'201'!$T$42:$T$43</definedName>
    <definedName name="OSRRefT22_7x_0" localSheetId="42">'202'!$T$46</definedName>
    <definedName name="OSRRefT22_7x_0" localSheetId="43">'203'!$T$46:$T$47</definedName>
    <definedName name="OSRRefT22_7x_0" localSheetId="48">'300'!$T$147</definedName>
    <definedName name="OSRRefT22_7x_0" localSheetId="49">'300 &amp; 317'!$T$169</definedName>
    <definedName name="OSRRefT22_7x_0" localSheetId="50">'301'!$T$50</definedName>
    <definedName name="OSRRefT22_7x_0" localSheetId="53">'307'!$T$60</definedName>
    <definedName name="OSRRefT22_7x_0" localSheetId="54">'308'!$T$84</definedName>
    <definedName name="OSRRefT22_7x_0" localSheetId="64">'310'!$T$55</definedName>
    <definedName name="OSRRefT22_7x_0" localSheetId="72">'310 &amp; 491'!$T$60</definedName>
    <definedName name="OSRRefT22_7x_0" localSheetId="55">'311'!$T$84</definedName>
    <definedName name="OSRRefT22_7x_0" localSheetId="58">'315'!$T$107:$T$108</definedName>
    <definedName name="OSRRefT22_7x_0" localSheetId="61">'316'!$T$55:$T$56</definedName>
    <definedName name="OSRRefT22_7x_0" localSheetId="63">'317'!$T$79</definedName>
    <definedName name="OSRRefT22_7x_0" localSheetId="67">'321'!$T$47:$T$48</definedName>
    <definedName name="OSRRefT22_7x_0" localSheetId="69">'325'!$T$47</definedName>
    <definedName name="OSRRefT22_7x_0" localSheetId="59">'326'!$T$70</definedName>
    <definedName name="OSRRefT22_7x_0" localSheetId="52">'330'!$T$65</definedName>
    <definedName name="OSRRefT22_7x_0" localSheetId="57">'331'!$T$105:$T$106</definedName>
    <definedName name="OSRRefT22_7x_0" localSheetId="60">'332'!$T$57:$T$58</definedName>
    <definedName name="OSRRefT22_7x_0" localSheetId="74">'405'!$T$49</definedName>
    <definedName name="OSRRefT22_7x_0" localSheetId="76">'411'!$T$46</definedName>
    <definedName name="OSRRefT22_7x_0" localSheetId="80">'415'!$T$49</definedName>
    <definedName name="OSRRefT22_7x_0" localSheetId="81">'418'!$T$46:$T$47</definedName>
    <definedName name="OSRRefT22_7x_0" localSheetId="88">'433'!$T$50</definedName>
    <definedName name="OSRRefT22_7x_0" localSheetId="90">'444'!$T$51</definedName>
    <definedName name="OSRRefT22_7x_0" localSheetId="91">'450'!$T$51</definedName>
    <definedName name="OSRRefT22_7x_0" localSheetId="73">'491'!$T$51</definedName>
    <definedName name="OSRRefT22_7x_0" localSheetId="86">'492'!$T$52</definedName>
    <definedName name="OSRRefT22_7x_0" localSheetId="93">'501'!$T$48:$T$49</definedName>
    <definedName name="OSRRefT22_7x_0" localSheetId="39">'Div 2'!$T$48</definedName>
    <definedName name="OSRRefT22_7x_0" localSheetId="47">'Div 3'!$T$152</definedName>
    <definedName name="OSRRefT22_7x_0" localSheetId="71">'Div 4'!$T$55</definedName>
    <definedName name="OSRRefT22_7x_0" localSheetId="92">'Div 5'!$T$48:$T$49</definedName>
    <definedName name="OSRRefT22_7x_0" localSheetId="62">'Div 6'!$T$79</definedName>
    <definedName name="OSRRefT22_7x_0" localSheetId="2">Summary!$T$177</definedName>
    <definedName name="OSRRefT22_8x_0" localSheetId="41">'201'!$T$45:$T$46</definedName>
    <definedName name="OSRRefT22_8x_0" localSheetId="42">'202'!$T$48:$T$49</definedName>
    <definedName name="OSRRefT22_8x_0" localSheetId="43">'203'!$T$49</definedName>
    <definedName name="OSRRefT22_8x_0" localSheetId="48">'300'!$T$149</definedName>
    <definedName name="OSRRefT22_8x_0" localSheetId="49">'300 &amp; 317'!$T$171</definedName>
    <definedName name="OSRRefT22_8x_0" localSheetId="50">'301'!$T$52</definedName>
    <definedName name="OSRRefT22_8x_0" localSheetId="53">'307'!$T$62:$T$63</definedName>
    <definedName name="OSRRefT22_8x_0" localSheetId="54">'308'!$T$86</definedName>
    <definedName name="OSRRefT22_8x_0" localSheetId="64">'310'!$T$57</definedName>
    <definedName name="OSRRefT22_8x_0" localSheetId="72">'310 &amp; 491'!$T$62:$T$63</definedName>
    <definedName name="OSRRefT22_8x_0" localSheetId="55">'311'!$T$86</definedName>
    <definedName name="OSRRefT22_8x_0" localSheetId="58">'315'!$T$110:$T$111</definedName>
    <definedName name="OSRRefT22_8x_0" localSheetId="61">'316'!$T$58</definedName>
    <definedName name="OSRRefT22_8x_0" localSheetId="63">'317'!$T$81:$T$83</definedName>
    <definedName name="OSRRefT22_8x_0" localSheetId="67">'321'!$T$50:$T$53</definedName>
    <definedName name="OSRRefT22_8x_0" localSheetId="69">'325'!$T$49</definedName>
    <definedName name="OSRRefT22_8x_0" localSheetId="59">'326'!$T$72</definedName>
    <definedName name="OSRRefT22_8x_0" localSheetId="52">'330'!$T$67:$T$68</definedName>
    <definedName name="OSRRefT22_8x_0" localSheetId="57">'331'!$T$108</definedName>
    <definedName name="OSRRefT22_8x_0" localSheetId="60">'332'!$T$60</definedName>
    <definedName name="OSRRefT22_8x_0" localSheetId="74">'405'!$T$51</definedName>
    <definedName name="OSRRefT22_8x_0" localSheetId="76">'411'!$T$48</definedName>
    <definedName name="OSRRefT22_8x_0" localSheetId="80">'415'!$T$51</definedName>
    <definedName name="OSRRefT22_8x_0" localSheetId="81">'418'!$T$49</definedName>
    <definedName name="OSRRefT22_8x_0" localSheetId="88">'433'!$T$52</definedName>
    <definedName name="OSRRefT22_8x_0" localSheetId="90">'444'!$T$53</definedName>
    <definedName name="OSRRefT22_8x_0" localSheetId="91">'450'!$T$53</definedName>
    <definedName name="OSRRefT22_8x_0" localSheetId="73">'491'!$T$53</definedName>
    <definedName name="OSRRefT22_8x_0" localSheetId="86">'492'!$T$54</definedName>
    <definedName name="OSRRefT22_8x_0" localSheetId="93">'501'!$T$51</definedName>
    <definedName name="OSRRefT22_8x_0" localSheetId="39">'Div 2'!$T$50:$T$51</definedName>
    <definedName name="OSRRefT22_8x_0" localSheetId="47">'Div 3'!$T$154</definedName>
    <definedName name="OSRRefT22_8x_0" localSheetId="71">'Div 4'!$T$57</definedName>
    <definedName name="OSRRefT22_8x_0" localSheetId="92">'Div 5'!$T$51</definedName>
    <definedName name="OSRRefT22_8x_0" localSheetId="62">'Div 6'!$T$81:$T$83</definedName>
    <definedName name="OSRRefT22_8x_0" localSheetId="2">Summary!$T$179</definedName>
    <definedName name="OSRRefT22_9x_0" localSheetId="41">'201'!$T$48</definedName>
    <definedName name="OSRRefT22_9x_0" localSheetId="42">'202'!$T$51</definedName>
    <definedName name="OSRRefT22_9x_0" localSheetId="43">'203'!$T$51:$T$54</definedName>
    <definedName name="OSRRefT22_9x_0" localSheetId="48">'300'!$T$151:$T$152</definedName>
    <definedName name="OSRRefT22_9x_0" localSheetId="49">'300 &amp; 317'!$T$173:$T$174</definedName>
    <definedName name="OSRRefT22_9x_0" localSheetId="50">'301'!$T$54</definedName>
    <definedName name="OSRRefT22_9x_0" localSheetId="53">'307'!$T$65:$T$66</definedName>
    <definedName name="OSRRefT22_9x_0" localSheetId="54">'308'!$T$88:$T$90</definedName>
    <definedName name="OSRRefT22_9x_0" localSheetId="64">'310'!$T$59</definedName>
    <definedName name="OSRRefT22_9x_0" localSheetId="72">'310 &amp; 491'!$T$65</definedName>
    <definedName name="OSRRefT22_9x_0" localSheetId="55">'311'!$T$88:$T$90</definedName>
    <definedName name="OSRRefT22_9x_0" localSheetId="58">'315'!$T$113</definedName>
    <definedName name="OSRRefT22_9x_0" localSheetId="61">'316'!$T$60:$T$64</definedName>
    <definedName name="OSRRefT22_9x_0" localSheetId="63">'317'!$T$85</definedName>
    <definedName name="OSRRefT22_9x_0" localSheetId="67">'321'!$T$55</definedName>
    <definedName name="OSRRefT22_9x_0" localSheetId="69">'325'!$T$51:$T$52</definedName>
    <definedName name="OSRRefT22_9x_0" localSheetId="59">'326'!$T$74:$T$75</definedName>
    <definedName name="OSRRefT22_9x_0" localSheetId="52">'330'!$T$70:$T$71</definedName>
    <definedName name="OSRRefT22_9x_0" localSheetId="57">'331'!$T$110:$T$111</definedName>
    <definedName name="OSRRefT22_9x_0" localSheetId="60">'332'!$T$62:$T$66</definedName>
    <definedName name="OSRRefT22_9x_0" localSheetId="74">'405'!$T$53:$T$54</definedName>
    <definedName name="OSRRefT22_9x_0" localSheetId="76">'411'!$T$50:$T$52</definedName>
    <definedName name="OSRRefT22_9x_0" localSheetId="80">'415'!$T$53</definedName>
    <definedName name="OSRRefT22_9x_0" localSheetId="81">'418'!$T$51</definedName>
    <definedName name="OSRRefT22_9x_0" localSheetId="88">'433'!$T$54</definedName>
    <definedName name="OSRRefT22_9x_0" localSheetId="90">'444'!$T$55</definedName>
    <definedName name="OSRRefT22_9x_0" localSheetId="91">'450'!$T$55</definedName>
    <definedName name="OSRRefT22_9x_0" localSheetId="73">'491'!$T$55</definedName>
    <definedName name="OSRRefT22_9x_0" localSheetId="86">'492'!$T$56</definedName>
    <definedName name="OSRRefT22_9x_0" localSheetId="93">'501'!$T$53</definedName>
    <definedName name="OSRRefT22_9x_0" localSheetId="39">'Div 2'!$T$53</definedName>
    <definedName name="OSRRefT22_9x_0" localSheetId="47">'Div 3'!$T$156:$T$157</definedName>
    <definedName name="OSRRefT22_9x_0" localSheetId="71">'Div 4'!$T$59</definedName>
    <definedName name="OSRRefT22_9x_0" localSheetId="92">'Div 5'!$T$53</definedName>
    <definedName name="OSRRefT22_9x_0" localSheetId="62">'Div 6'!$T$85</definedName>
    <definedName name="OSRRefT22_9x_0" localSheetId="2">Summary!$T$181</definedName>
    <definedName name="OSRRefT22x_0" localSheetId="40">'200'!$T$20,'200'!$T$22,'200'!$T$24,'200'!$T$26</definedName>
    <definedName name="OSRRefT22x_0" localSheetId="41">'201'!$T$20:$T$27,'201'!$T$29:$T$30,'201'!$T$32,'201'!$T$34,'201'!$T$36,'201'!$T$38,'201'!$T$40,'201'!$T$42:$T$43,'201'!$T$45:$T$46,'201'!$T$48,'201'!$T$50:$T$51,'201'!$T$53</definedName>
    <definedName name="OSRRefT22x_0" localSheetId="42">'202'!$T$20:$T$27,'202'!$T$29:$T$31,'202'!$T$33,'202'!$T$35,'202'!$T$37:$T$38,'202'!$T$40,'202'!$T$42:$T$44,'202'!$T$46,'202'!$T$48:$T$49,'202'!$T$51,'202'!$T$53,'202'!$T$55</definedName>
    <definedName name="OSRRefT22x_0" localSheetId="43">'203'!$T$20:$T$28,'203'!$T$30:$T$33,'203'!$T$35,'203'!$T$37,'203'!$T$39,'203'!$T$41,'203'!$T$43:$T$44,'203'!$T$46:$T$47,'203'!$T$49,'203'!$T$51:$T$54,'203'!$T$56,'203'!$T$58</definedName>
    <definedName name="OSRRefT22x_0" localSheetId="44">'204'!$T$20:$T$28,'204'!$T$30:$T$32,'204'!$T$34,'204'!$T$36,'204'!$T$38:$T$40,'204'!$T$42,'204'!$T$44:$T$45</definedName>
    <definedName name="OSRRefT22x_0" localSheetId="45">'205'!$T$20:$T$27,'205'!$T$29,'205'!$T$31,'205'!$T$33:$T$34,'205'!$T$36:$T$37,'205'!$T$39</definedName>
    <definedName name="OSRRefT22x_0" localSheetId="46">'206'!$T$20:$T$26,'206'!$T$28:$T$30,'206'!$T$32,'206'!$T$34,'206'!$T$36,'206'!$T$38,'206'!$T$40</definedName>
    <definedName name="OSRRefT22x_0" localSheetId="48">'300'!$T$116:$T$125,'300'!$T$127:$T$133,'300'!$T$135,'300'!$T$137,'300'!$T$139,'300'!$T$141:$T$142,'300'!$T$144:$T$145,'300'!$T$147,'300'!$T$149,'300'!$T$151:$T$152,'300'!$T$154,'300'!$T$156,'300'!$T$158:$T$159,'300'!$T$161,'300'!$T$163:$T$166,'300'!$T$168:$T$170,'300'!$T$172:$T$175,'300'!$T$177:$T$178,'300'!$T$180:$T$185,'300'!$T$187:$T$188,'300'!$T$190,'300'!$T$192:$T$194,'300'!$T$196</definedName>
    <definedName name="OSRRefT22x_0" localSheetId="49">'300 &amp; 317'!$T$138:$T$147,'300 &amp; 317'!$T$149:$T$155,'300 &amp; 317'!$T$157,'300 &amp; 317'!$T$159,'300 &amp; 317'!$T$161,'300 &amp; 317'!$T$163:$T$164,'300 &amp; 317'!$T$166:$T$167,'300 &amp; 317'!$T$169,'300 &amp; 317'!$T$171,'300 &amp; 317'!$T$173:$T$174,'300 &amp; 317'!$T$176,'300 &amp; 317'!$T$178,'300 &amp; 317'!$T$180:$T$181,'300 &amp; 317'!$T$183,'300 &amp; 317'!$T$185:$T$188,'300 &amp; 317'!$T$190:$T$192,'300 &amp; 317'!$T$194:$T$197,'300 &amp; 317'!$T$199:$T$200,'300 &amp; 317'!$T$202:$T$207,'300 &amp; 317'!$T$209:$T$210,'300 &amp; 317'!$T$212,'300 &amp; 317'!$T$214:$T$216,'300 &amp; 317'!$T$218</definedName>
    <definedName name="OSRRefT22x_0" localSheetId="50">'301'!$T$20:$T$29,'301'!$T$31:$T$37,'301'!$T$39,'301'!$T$41,'301'!$T$43,'301'!$T$45:$T$46,'301'!$T$48,'301'!$T$50,'301'!$T$52,'301'!$T$54,'301'!$T$56,'301'!$T$58,'301'!$T$60,'301'!$T$62:$T$65,'301'!$T$67:$T$69,'301'!$T$71,'301'!$T$73:$T$77,'301'!$T$79,'301'!$T$81,'301'!$T$83:$T$84,'301'!$T$86</definedName>
    <definedName name="OSRRefT22x_0" localSheetId="51">'306'!$T$20:$T$23,'306'!$T$25:$T$26,'306'!$T$28,'306'!$T$30,'306'!$T$32,'306'!$T$34</definedName>
    <definedName name="OSRRefT22x_0" localSheetId="53">'307'!$T$42:$T$44,'307'!$T$46:$T$47,'307'!$T$49,'307'!$T$51,'307'!$T$53:$T$54,'307'!$T$56,'307'!$T$58,'307'!$T$60,'307'!$T$62:$T$63,'307'!$T$65:$T$66,'307'!$T$68:$T$70,'307'!$T$72</definedName>
    <definedName name="OSRRefT22x_0" localSheetId="54">'308'!$T$56:$T$64,'308'!$T$66:$T$72,'308'!$T$74,'308'!$T$76,'308'!$T$78,'308'!$T$80,'308'!$T$82,'308'!$T$84,'308'!$T$86,'308'!$T$88:$T$90,'308'!$T$92,'308'!$T$94:$T$95,'308'!$T$97:$T$98,'308'!$T$100</definedName>
    <definedName name="OSRRefT22x_0" localSheetId="65">'309'!$T$20,'309'!$T$22:$T$23,'309'!$T$25:$T$26,'309'!$T$28</definedName>
    <definedName name="OSRRefT22x_0" localSheetId="64">'310'!$T$31:$T$38,'310'!$T$40:$T$42,'310'!$T$44,'310'!$T$46,'310'!$T$48,'310'!$T$50:$T$51,'310'!$T$53,'310'!$T$55,'310'!$T$57,'310'!$T$59,'310'!$T$61:$T$62,'310'!$T$64:$T$66,'310'!$T$68:$T$72,'310'!$T$74,'310'!$T$76</definedName>
    <definedName name="OSRRefT22x_0" localSheetId="72">'310 &amp; 491'!$T$34:$T$41,'310 &amp; 491'!$T$43:$T$47,'310 &amp; 491'!$T$49,'310 &amp; 491'!$T$51,'310 &amp; 491'!$T$53,'310 &amp; 491'!$T$55:$T$56,'310 &amp; 491'!$T$58,'310 &amp; 491'!$T$60,'310 &amp; 491'!$T$62:$T$63,'310 &amp; 491'!$T$65,'310 &amp; 491'!$T$67,'310 &amp; 491'!$T$69,'310 &amp; 491'!$T$71,'310 &amp; 491'!$T$73:$T$75,'310 &amp; 491'!$T$77:$T$80,'310 &amp; 491'!$T$82,'310 &amp; 491'!$T$84:$T$90,'310 &amp; 491'!$T$92,'310 &amp; 491'!$T$94,'310 &amp; 491'!$T$96</definedName>
    <definedName name="OSRRefT22x_0" localSheetId="55">'311'!$T$56:$T$64,'311'!$T$66:$T$72,'311'!$T$74,'311'!$T$76,'311'!$T$78,'311'!$T$80,'311'!$T$82,'311'!$T$84,'311'!$T$86,'311'!$T$88:$T$90,'311'!$T$92,'311'!$T$94:$T$95,'311'!$T$97:$T$98,'311'!$T$100</definedName>
    <definedName name="OSRRefT22x_0" localSheetId="66">'313'!$T$25:$T$32,'313'!$T$34,'313'!$T$36,'313'!$T$38,'313'!$T$40,'313'!$T$42,'313'!$T$44</definedName>
    <definedName name="OSRRefT22x_0" localSheetId="58">'315'!$T$79:$T$86,'315'!$T$88:$T$92,'315'!$T$94,'315'!$T$96:$T$97,'315'!$T$99,'315'!$T$101:$T$102,'315'!$T$104:$T$105,'315'!$T$107:$T$108,'315'!$T$110:$T$111,'315'!$T$113,'315'!$T$115:$T$117,'315'!$T$119,'315'!$T$121</definedName>
    <definedName name="OSRRefT22x_0" localSheetId="61">'316'!$T$31:$T$38,'316'!$T$40:$T$42,'316'!$T$44,'316'!$T$46,'316'!$T$48,'316'!$T$50:$T$51,'316'!$T$53,'316'!$T$55:$T$56,'316'!$T$58,'316'!$T$60:$T$64,'316'!$T$66,'316'!$T$68</definedName>
    <definedName name="OSRRefT22x_0" localSheetId="63">'317'!$T$52:$T$60,'317'!$T$62:$T$66,'317'!$T$68,'317'!$T$70,'317'!$T$72,'317'!$T$74:$T$75,'317'!$T$77,'317'!$T$79,'317'!$T$81:$T$83,'317'!$T$85</definedName>
    <definedName name="OSRRefT22x_0" localSheetId="67">'321'!$T$23:$T$30,'321'!$T$32:$T$34,'321'!$T$36,'321'!$T$38,'321'!$T$40,'321'!$T$42,'321'!$T$44:$T$45,'321'!$T$47:$T$48,'321'!$T$50:$T$53,'321'!$T$55,'321'!$T$57</definedName>
    <definedName name="OSRRefT22x_0" localSheetId="68">'322'!$T$21:$T$25,'322'!$T$27,'322'!$T$29,'322'!$T$31,'322'!$T$33:$T$34,'322'!$T$36,'322'!$T$38</definedName>
    <definedName name="OSRRefT22x_0" localSheetId="69">'325'!$T$24:$T$30,'325'!$T$32:$T$34,'325'!$T$36,'325'!$T$38,'325'!$T$40,'325'!$T$42:$T$43,'325'!$T$45,'325'!$T$47,'325'!$T$49,'325'!$T$51:$T$52,'325'!$T$54:$T$56,'325'!$T$58:$T$61,'325'!$T$63,'325'!$T$65</definedName>
    <definedName name="OSRRefT22x_0" localSheetId="59">'326'!$T$45:$T$52,'326'!$T$54:$T$58,'326'!$T$60,'326'!$T$62,'326'!$T$64,'326'!$T$66,'326'!$T$68,'326'!$T$70,'326'!$T$72,'326'!$T$74:$T$75,'326'!$T$77:$T$78,'326'!$T$80,'326'!$T$82:$T$85,'326'!$T$87,'326'!$T$89,'326'!$T$91</definedName>
    <definedName name="OSRRefT22x_0" localSheetId="70">'327'!$T$24</definedName>
    <definedName name="OSRRefT22x_0" localSheetId="52">'330'!$T$45:$T$48,'330'!$T$50:$T$51,'330'!$T$53,'330'!$T$55,'330'!$T$57:$T$58,'330'!$T$60:$T$61,'330'!$T$63,'330'!$T$65,'330'!$T$67:$T$68,'330'!$T$70:$T$71,'330'!$T$73:$T$75,'330'!$T$77</definedName>
    <definedName name="OSRRefT22x_0" localSheetId="57">'331'!$T$79:$T$86,'331'!$T$88:$T$92,'331'!$T$94,'331'!$T$96,'331'!$T$98,'331'!$T$100:$T$101,'331'!$T$103,'331'!$T$105:$T$106,'331'!$T$108,'331'!$T$110:$T$111,'331'!$T$113,'331'!$T$115:$T$116,'331'!$T$118:$T$119,'331'!$T$121:$T$122,'331'!$T$124,'331'!$T$126:$T$129,'331'!$T$131,'331'!$T$133,'331'!$T$135</definedName>
    <definedName name="OSRRefT22x_0" localSheetId="60">'332'!$T$33:$T$40,'332'!$T$42:$T$44,'332'!$T$46,'332'!$T$48,'332'!$T$50,'332'!$T$52:$T$53,'332'!$T$55,'332'!$T$57:$T$58,'332'!$T$60,'332'!$T$62:$T$66,'332'!$T$68,'332'!$T$70</definedName>
    <definedName name="OSRRefT22x_0" localSheetId="74">'405'!$T$24:$T$31,'405'!$T$33:$T$36,'405'!$T$38,'405'!$T$40,'405'!$T$42,'405'!$T$44:$T$45,'405'!$T$47,'405'!$T$49,'405'!$T$51,'405'!$T$53:$T$54,'405'!$T$56:$T$57,'405'!$T$59:$T$64,'405'!$T$66,'405'!$T$68</definedName>
    <definedName name="OSRRefT22x_0" localSheetId="75">'406'!$T$20,'406'!$T$22,'406'!$T$24,'406'!$T$26,'406'!$T$28</definedName>
    <definedName name="OSRRefT22x_0" localSheetId="76">'411'!$T$20:$T$27,'411'!$T$29:$T$33,'411'!$T$35,'411'!$T$37:$T$38,'411'!$T$40,'411'!$T$42,'411'!$T$44,'411'!$T$46,'411'!$T$48,'411'!$T$50:$T$52,'411'!$T$54:$T$55,'411'!$T$57:$T$58,'411'!$T$60,'411'!$T$62,'411'!$T$64</definedName>
    <definedName name="OSRRefT22x_0" localSheetId="77">'412'!$T$20,'412'!$T$22,'412'!$T$24,'412'!$T$26,'412'!$T$28</definedName>
    <definedName name="OSRRefT22x_0" localSheetId="78">'413'!$T$20:$T$24,'413'!$T$26,'413'!$T$28,'413'!$T$30,'413'!$T$32,'413'!$T$34</definedName>
    <definedName name="OSRRefT22x_0" localSheetId="79">'414'!$T$21,'414'!$T$23,'414'!$T$25,'414'!$T$27,'414'!$T$29:$T$30</definedName>
    <definedName name="OSRRefT22x_0" localSheetId="80">'415'!$T$24:$T$31,'415'!$T$33:$T$36,'415'!$T$38,'415'!$T$40,'415'!$T$42,'415'!$T$44:$T$45,'415'!$T$47,'415'!$T$49,'415'!$T$51,'415'!$T$53,'415'!$T$55:$T$56,'415'!$T$58:$T$61,'415'!$T$63,'415'!$T$65:$T$70,'415'!$T$72,'415'!$T$74</definedName>
    <definedName name="OSRRefT22x_0" localSheetId="81">'418'!$T$21:$T$28,'418'!$T$30:$T$33,'418'!$T$35,'418'!$T$37,'418'!$T$39:$T$40,'418'!$T$42,'418'!$T$44,'418'!$T$46:$T$47,'418'!$T$49,'418'!$T$51,'418'!$T$53:$T$55,'418'!$T$57</definedName>
    <definedName name="OSRRefT22x_0" localSheetId="82">'423'!$T$20:$T$21,'423'!$T$23,'423'!$T$25,'423'!$T$27</definedName>
    <definedName name="OSRRefT22x_0" localSheetId="83">'424'!$T$20,'424'!$T$22,'424'!$T$24,'424'!$T$26</definedName>
    <definedName name="OSRRefT22x_0" localSheetId="84">'425'!$T$21:$T$25,'425'!$T$27,'425'!$T$29,'425'!$T$31,'425'!$T$33</definedName>
    <definedName name="OSRRefT22x_0" localSheetId="87">'430'!$T$20:$T$27,'430'!$T$29,'430'!$T$31,'430'!$T$33,'430'!$T$35:$T$36,'430'!$T$38,'430'!$T$40</definedName>
    <definedName name="OSRRefT22x_0" localSheetId="88">'433'!$T$25:$T$33,'433'!$T$35:$T$38,'433'!$T$40,'433'!$T$42,'433'!$T$44,'433'!$T$46,'433'!$T$48,'433'!$T$50,'433'!$T$52,'433'!$T$54,'433'!$T$56:$T$57,'433'!$T$59:$T$61,'433'!$T$63:$T$69,'433'!$T$71</definedName>
    <definedName name="OSRRefT22x_0" localSheetId="89">'435'!$T$20</definedName>
    <definedName name="OSRRefT22x_0" localSheetId="90">'444'!$T$25:$T$33,'444'!$T$35:$T$39,'444'!$T$41,'444'!$T$43,'444'!$T$45,'444'!$T$47,'444'!$T$49,'444'!$T$51,'444'!$T$53,'444'!$T$55,'444'!$T$57:$T$58,'444'!$T$60:$T$62,'444'!$T$64:$T$70,'444'!$T$72,'444'!$T$74</definedName>
    <definedName name="OSRRefT22x_0" localSheetId="91">'450'!$T$25:$T$33,'450'!$T$35:$T$39,'450'!$T$41,'450'!$T$43,'450'!$T$45,'450'!$T$47,'450'!$T$49,'450'!$T$51,'450'!$T$53,'450'!$T$55,'450'!$T$57,'450'!$T$59,'450'!$T$61,'450'!$T$63:$T$64,'450'!$T$66:$T$70,'450'!$T$72,'450'!$T$74</definedName>
    <definedName name="OSRRefT22x_0" localSheetId="73">'491'!$T$25:$T$32,'491'!$T$34:$T$38,'491'!$T$40,'491'!$T$42,'491'!$T$44,'491'!$T$46:$T$47,'491'!$T$49,'491'!$T$51,'491'!$T$53,'491'!$T$55,'491'!$T$57,'491'!$T$59,'491'!$T$61,'491'!$T$63:$T$65,'491'!$T$67:$T$70,'491'!$T$72,'491'!$T$74:$T$80,'491'!$T$82,'491'!$T$84,'491'!$T$86</definedName>
    <definedName name="OSRRefT22x_0" localSheetId="86">'492'!$T$25:$T$33,'492'!$T$35:$T$40,'492'!$T$42,'492'!$T$44,'492'!$T$46,'492'!$T$48,'492'!$T$50,'492'!$T$52,'492'!$T$54,'492'!$T$56,'492'!$T$58,'492'!$T$60,'492'!$T$62:$T$64,'492'!$T$66:$T$68,'492'!$T$70:$T$77,'492'!$T$79,'492'!$T$81,'492'!$T$83:$T$84</definedName>
    <definedName name="OSRRefT22x_0" localSheetId="93">'501'!$T$21:$T$28,'501'!$T$30:$T$35,'501'!$T$37,'501'!$T$39,'501'!$T$41:$T$42,'501'!$T$44,'501'!$T$46,'501'!$T$48:$T$49,'501'!$T$51,'501'!$T$53</definedName>
    <definedName name="OSRRefT22x_0" localSheetId="39">'Div 2'!$T$20:$T$29,'Div 2'!$T$31:$T$36,'Div 2'!$T$38,'Div 2'!$T$40,'Div 2'!$T$42,'Div 2'!$T$44,'Div 2'!$T$46,'Div 2'!$T$48,'Div 2'!$T$50:$T$51,'Div 2'!$T$53,'Div 2'!$T$55,'Div 2'!$T$57:$T$59,'Div 2'!$T$61:$T$63,'Div 2'!$T$65,'Div 2'!$T$67,'Div 2'!$T$69:$T$73,'Div 2'!$T$75:$T$76,'Div 2'!$T$78,'Div 2'!$T$80</definedName>
    <definedName name="OSRRefT22x_0" localSheetId="47">'Div 3'!$T$121:$T$130,'Div 3'!$T$132:$T$138,'Div 3'!$T$140,'Div 3'!$T$142,'Div 3'!$T$144,'Div 3'!$T$146:$T$147,'Div 3'!$T$149:$T$150,'Div 3'!$T$152,'Div 3'!$T$154,'Div 3'!$T$156:$T$157,'Div 3'!$T$159,'Div 3'!$T$161,'Div 3'!$T$163,'Div 3'!$T$165:$T$166,'Div 3'!$T$168,'Div 3'!$T$170:$T$173,'Div 3'!$T$175:$T$177,'Div 3'!$T$179:$T$183,'Div 3'!$T$185:$T$186,'Div 3'!$T$188:$T$194,'Div 3'!$T$196:$T$197,'Div 3'!$T$199,'Div 3'!$T$201:$T$203,'Div 3'!$T$205</definedName>
    <definedName name="OSRRefT22x_0" localSheetId="71">'Div 4'!$T$27:$T$35,'Div 4'!$T$37:$T$42,'Div 4'!$T$44,'Div 4'!$T$46,'Div 4'!$T$48,'Div 4'!$T$50:$T$51,'Div 4'!$T$53,'Div 4'!$T$55,'Div 4'!$T$57,'Div 4'!$T$59,'Div 4'!$T$61,'Div 4'!$T$63,'Div 4'!$T$65,'Div 4'!$T$67,'Div 4'!$T$69,'Div 4'!$T$71:$T$73,'Div 4'!$T$75:$T$78,'Div 4'!$T$80,'Div 4'!$T$82:$T$89,'Div 4'!$T$91,'Div 4'!$T$93,'Div 4'!$T$95:$T$96,'Div 4'!$T$98</definedName>
    <definedName name="OSRRefT22x_0" localSheetId="92">'Div 5'!$T$21:$T$28,'Div 5'!$T$30:$T$35,'Div 5'!$T$37,'Div 5'!$T$39,'Div 5'!$T$41:$T$42,'Div 5'!$T$44,'Div 5'!$T$46,'Div 5'!$T$48:$T$49,'Div 5'!$T$51,'Div 5'!$T$53</definedName>
    <definedName name="OSRRefT22x_0" localSheetId="62">'Div 6'!$T$52:$T$60,'Div 6'!$T$62:$T$66,'Div 6'!$T$68,'Div 6'!$T$70,'Div 6'!$T$72,'Div 6'!$T$74:$T$75,'Div 6'!$T$77,'Div 6'!$T$79,'Div 6'!$T$81:$T$83,'Div 6'!$T$85</definedName>
    <definedName name="OSRRefT22x_0" localSheetId="2">Summary!$T$146:$T$155,Summary!$T$157:$T$163,Summary!$T$165,Summary!$T$167,Summary!$T$169,Summary!$T$171:$T$172,Summary!$T$174:$T$175,Summary!$T$177,Summary!$T$179,Summary!$T$181,Summary!$T$183:$T$184,Summary!$T$186,Summary!$T$188,Summary!$T$190,Summary!$T$192:$T$193,Summary!$T$195,Summary!$T$197,Summary!$T$199:$T$202,Summary!$T$204:$T$206,Summary!$T$208:$T$212,Summary!$T$214:$T$215,Summary!$T$217:$T$225,Summary!$T$227:$T$228,Summary!$T$230,Summary!$T$232:$T$234,Summary!$T$236</definedName>
    <definedName name="OSRRefT25x_0" localSheetId="48">'300'!$T$199:$T$202</definedName>
    <definedName name="OSRRefT25x_0" localSheetId="49">'300 &amp; 317'!$T$221:$T$226</definedName>
    <definedName name="OSRRefT25x_0" localSheetId="50">'301'!$T$89</definedName>
    <definedName name="OSRRefT25x_0" localSheetId="54">'308'!$T$103:$T$105</definedName>
    <definedName name="OSRRefT25x_0" localSheetId="72">'310 &amp; 491'!$T$99:$T$101</definedName>
    <definedName name="OSRRefT25x_0" localSheetId="55">'311'!$T$103:$T$105</definedName>
    <definedName name="OSRRefT25x_0" localSheetId="58">'315'!$T$124:$T$125</definedName>
    <definedName name="OSRRefT25x_0" localSheetId="61">'316'!$T$71</definedName>
    <definedName name="OSRRefT25x_0" localSheetId="63">'317'!$T$88:$T$90</definedName>
    <definedName name="OSRRefT25x_0" localSheetId="57">'331'!$T$138:$T$139</definedName>
    <definedName name="OSRRefT25x_0" localSheetId="60">'332'!$T$73:$T$74</definedName>
    <definedName name="OSRRefT25x_0" localSheetId="76">'411'!$T$67:$T$68</definedName>
    <definedName name="OSRRefT25x_0" localSheetId="80">'415'!$T$77</definedName>
    <definedName name="OSRRefT25x_0" localSheetId="81">'418'!$T$60</definedName>
    <definedName name="OSRRefT25x_0" localSheetId="82">'423'!$T$30</definedName>
    <definedName name="OSRRefT25x_0" localSheetId="85">'455'!$T$21:$T$22</definedName>
    <definedName name="OSRRefT25x_0" localSheetId="73">'491'!$T$89:$T$91</definedName>
    <definedName name="OSRRefT25x_0" localSheetId="93">'501'!$T$56</definedName>
    <definedName name="OSRRefT25x_0" localSheetId="47">'Div 3'!$T$208:$T$211</definedName>
    <definedName name="OSRRefT25x_0" localSheetId="71">'Div 4'!$T$101:$T$103</definedName>
    <definedName name="OSRRefT25x_0" localSheetId="92">'Div 5'!$T$56</definedName>
    <definedName name="OSRRefT25x_0" localSheetId="62">'Div 6'!$T$88:$T$90</definedName>
    <definedName name="OSRRefT25x_0" localSheetId="2">Summary!$T$239:$T$246</definedName>
    <definedName name="_xlnm.Print_Area" localSheetId="38">'100'!$A$1:$Z$34</definedName>
    <definedName name="_xlnm.Print_Area" localSheetId="40">'200'!$A$1:$Z$40</definedName>
    <definedName name="_xlnm.Print_Area" localSheetId="41">'201'!$A$1:$Z$67</definedName>
    <definedName name="_xlnm.Print_Area" localSheetId="42">'202'!$A$1:$Z$69</definedName>
    <definedName name="_xlnm.Print_Area" localSheetId="43">'203'!$A$1:$Z$72</definedName>
    <definedName name="_xlnm.Print_Area" localSheetId="44">'204'!$A$1:$Z$59</definedName>
    <definedName name="_xlnm.Print_Area" localSheetId="45">'205'!$A$1:$Z$53</definedName>
    <definedName name="_xlnm.Print_Area" localSheetId="46">'206'!$A$1:$Z$54</definedName>
    <definedName name="_xlnm.Print_Area" localSheetId="48">'300'!$A$1:$Z$214</definedName>
    <definedName name="_xlnm.Print_Area" localSheetId="49">'300 &amp; 317'!$A$1:$Z$238</definedName>
    <definedName name="_xlnm.Print_Area" localSheetId="50">'301'!$A$1:$Z$101</definedName>
    <definedName name="_xlnm.Print_Area" localSheetId="51">'306'!$A$1:$Z$48</definedName>
    <definedName name="_xlnm.Print_Area" localSheetId="53">'307'!$A$1:$Z$86</definedName>
    <definedName name="_xlnm.Print_Area" localSheetId="54">'308'!$A$1:$Z$117</definedName>
    <definedName name="_xlnm.Print_Area" localSheetId="65">'309'!$A$1:$Z$42</definedName>
    <definedName name="_xlnm.Print_Area" localSheetId="64">'310'!$A$1:$Z$90</definedName>
    <definedName name="_xlnm.Print_Area" localSheetId="72">'310 &amp; 491'!$A$1:$Z$113</definedName>
    <definedName name="_xlnm.Print_Area" localSheetId="55">'311'!$A$1:$Z$117</definedName>
    <definedName name="_xlnm.Print_Area" localSheetId="66">'313'!$A$1:$Z$58</definedName>
    <definedName name="_xlnm.Print_Area" localSheetId="58">'315'!$A$1:$Z$137</definedName>
    <definedName name="_xlnm.Print_Area" localSheetId="61">'316'!$A$1:$Z$83</definedName>
    <definedName name="_xlnm.Print_Area" localSheetId="63">'317'!$A$1:$Z$102</definedName>
    <definedName name="_xlnm.Print_Area" localSheetId="67">'321'!$A$1:$Z$71</definedName>
    <definedName name="_xlnm.Print_Area" localSheetId="68">'322'!$A$1:$Z$52</definedName>
    <definedName name="_xlnm.Print_Area" localSheetId="56">'324'!$A$1:$Z$39</definedName>
    <definedName name="_xlnm.Print_Area" localSheetId="69">'325'!$A$1:$Z$79</definedName>
    <definedName name="_xlnm.Print_Area" localSheetId="59">'326'!$A$1:$Z$105</definedName>
    <definedName name="_xlnm.Print_Area" localSheetId="70">'327'!$A$1:$Z$38</definedName>
    <definedName name="_xlnm.Print_Area" localSheetId="52">'330'!$A$1:$Z$91</definedName>
    <definedName name="_xlnm.Print_Area" localSheetId="57">'331'!$A$1:$Z$151</definedName>
    <definedName name="_xlnm.Print_Area" localSheetId="60">'332'!$A$1:$Z$86</definedName>
    <definedName name="_xlnm.Print_Area" localSheetId="74">'405'!$A$1:$Z$82</definedName>
    <definedName name="_xlnm.Print_Area" localSheetId="75">'406'!$A$1:$Z$42</definedName>
    <definedName name="_xlnm.Print_Area" localSheetId="76">'411'!$A$1:$Z$80</definedName>
    <definedName name="_xlnm.Print_Area" localSheetId="77">'412'!$A$1:$Z$42</definedName>
    <definedName name="_xlnm.Print_Area" localSheetId="78">'413'!$A$1:$Z$48</definedName>
    <definedName name="_xlnm.Print_Area" localSheetId="79">'414'!$A$1:$Z$44</definedName>
    <definedName name="_xlnm.Print_Area" localSheetId="80">'415'!$A$1:$Z$89</definedName>
    <definedName name="_xlnm.Print_Area" localSheetId="81">'418'!$A$1:$Z$72</definedName>
    <definedName name="_xlnm.Print_Area" localSheetId="82">'423'!$A$1:$Z$42</definedName>
    <definedName name="_xlnm.Print_Area" localSheetId="83">'424'!$A$1:$Z$40</definedName>
    <definedName name="_xlnm.Print_Area" localSheetId="84">'425'!$A$1:$Z$47</definedName>
    <definedName name="_xlnm.Print_Area" localSheetId="87">'430'!$A$1:$Z$54</definedName>
    <definedName name="_xlnm.Print_Area" localSheetId="88">'433'!$A$1:$Z$85</definedName>
    <definedName name="_xlnm.Print_Area" localSheetId="89">'435'!$A$1:$Z$34</definedName>
    <definedName name="_xlnm.Print_Area" localSheetId="90">'444'!$A$1:$Z$88</definedName>
    <definedName name="_xlnm.Print_Area" localSheetId="91">'450'!$A$1:$Z$88</definedName>
    <definedName name="_xlnm.Print_Area" localSheetId="85">'455'!$A$1:$Z$34</definedName>
    <definedName name="_xlnm.Print_Area" localSheetId="73">'491'!$A$1:$Z$103</definedName>
    <definedName name="_xlnm.Print_Area" localSheetId="86">'492'!$A$1:$Z$98</definedName>
    <definedName name="_xlnm.Print_Area" localSheetId="93">'501'!$A$1:$Z$68</definedName>
    <definedName name="_xlnm.Print_Area" localSheetId="94">Dept!$A$1:$Z$39</definedName>
    <definedName name="_xlnm.Print_Area" localSheetId="5">'Div 1'!$A$1:$Z$34</definedName>
    <definedName name="_xlnm.Print_Area" localSheetId="39">'Div 2'!$A$1:$Z$94</definedName>
    <definedName name="_xlnm.Print_Area" localSheetId="47">'Div 3'!$A$1:$Z$223</definedName>
    <definedName name="_xlnm.Print_Area" localSheetId="71">'Div 4'!$A$1:$Z$115</definedName>
    <definedName name="_xlnm.Print_Area" localSheetId="92">'Div 5'!$A$1:$Z$68</definedName>
    <definedName name="_xlnm.Print_Area" localSheetId="62">'Div 6'!$A$1:$Z$102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5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6">'OSR_Summary (...56e5d78f_5JEYZH'!$A$1:$Z$39</definedName>
    <definedName name="_xlnm.Print_Area" localSheetId="3">OSR_Summary_18VAVWG!$A$1:$Z$39</definedName>
    <definedName name="_xlnm.Print_Area" localSheetId="2">Summary!$A$1:$Z$260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4">'308'!$A:$C,'308'!$1:$10</definedName>
    <definedName name="_xlnm.Print_Titles" localSheetId="65">'309'!$A:$C,'309'!$1:$10</definedName>
    <definedName name="_xlnm.Print_Titles" localSheetId="64">'310'!$A:$C,'310'!$1:$10</definedName>
    <definedName name="_xlnm.Print_Titles" localSheetId="72">'310 &amp; 491'!$A:$C,'310 &amp; 491'!$1:$10</definedName>
    <definedName name="_xlnm.Print_Titles" localSheetId="55">'311'!$A:$C,'311'!$1:$10</definedName>
    <definedName name="_xlnm.Print_Titles" localSheetId="66">'313'!$A:$C,'313'!$1:$10</definedName>
    <definedName name="_xlnm.Print_Titles" localSheetId="58">'315'!$A:$C,'315'!$1:$10</definedName>
    <definedName name="_xlnm.Print_Titles" localSheetId="61">'316'!$A:$C,'316'!$1:$10</definedName>
    <definedName name="_xlnm.Print_Titles" localSheetId="63">'317'!$A:$C,'317'!$1:$10</definedName>
    <definedName name="_xlnm.Print_Titles" localSheetId="67">'321'!$A:$C,'321'!$1:$10</definedName>
    <definedName name="_xlnm.Print_Titles" localSheetId="68">'322'!$A:$C,'322'!$1:$10</definedName>
    <definedName name="_xlnm.Print_Titles" localSheetId="56">'324'!$A:$C,'324'!$1:$10</definedName>
    <definedName name="_xlnm.Print_Titles" localSheetId="69">'325'!$A:$C,'325'!$1:$10</definedName>
    <definedName name="_xlnm.Print_Titles" localSheetId="59">'326'!$A:$C,'326'!$1:$10</definedName>
    <definedName name="_xlnm.Print_Titles" localSheetId="70">'327'!$A:$C,'327'!$1:$10</definedName>
    <definedName name="_xlnm.Print_Titles" localSheetId="52">'330'!$A:$C,'330'!$1:$10</definedName>
    <definedName name="_xlnm.Print_Titles" localSheetId="57">'331'!$A:$C,'331'!$1:$10</definedName>
    <definedName name="_xlnm.Print_Titles" localSheetId="60">'332'!$A:$C,'332'!$1:$10</definedName>
    <definedName name="_xlnm.Print_Titles" localSheetId="74">'405'!$A:$C,'405'!$1:$10</definedName>
    <definedName name="_xlnm.Print_Titles" localSheetId="75">'406'!$A:$C,'406'!$1:$10</definedName>
    <definedName name="_xlnm.Print_Titles" localSheetId="76">'411'!$A:$C,'411'!$1:$10</definedName>
    <definedName name="_xlnm.Print_Titles" localSheetId="77">'412'!$A:$C,'412'!$1:$10</definedName>
    <definedName name="_xlnm.Print_Titles" localSheetId="78">'413'!$A:$C,'413'!$1:$10</definedName>
    <definedName name="_xlnm.Print_Titles" localSheetId="79">'414'!$A:$C,'414'!$1:$10</definedName>
    <definedName name="_xlnm.Print_Titles" localSheetId="80">'415'!$A:$C,'415'!$1:$10</definedName>
    <definedName name="_xlnm.Print_Titles" localSheetId="81">'418'!$A:$C,'418'!$1:$10</definedName>
    <definedName name="_xlnm.Print_Titles" localSheetId="82">'423'!$A:$C,'423'!$1:$10</definedName>
    <definedName name="_xlnm.Print_Titles" localSheetId="83">'424'!$A:$C,'424'!$1:$10</definedName>
    <definedName name="_xlnm.Print_Titles" localSheetId="84">'425'!$A:$C,'425'!$1:$10</definedName>
    <definedName name="_xlnm.Print_Titles" localSheetId="87">'430'!$A:$C,'430'!$1:$10</definedName>
    <definedName name="_xlnm.Print_Titles" localSheetId="88">'433'!$A:$C,'433'!$1:$10</definedName>
    <definedName name="_xlnm.Print_Titles" localSheetId="89">'435'!$A:$C,'435'!$1:$10</definedName>
    <definedName name="_xlnm.Print_Titles" localSheetId="90">'444'!$A:$C,'444'!$1:$10</definedName>
    <definedName name="_xlnm.Print_Titles" localSheetId="91">'450'!$A:$C,'450'!$1:$10</definedName>
    <definedName name="_xlnm.Print_Titles" localSheetId="85">'455'!$A:$C,'455'!$1:$10</definedName>
    <definedName name="_xlnm.Print_Titles" localSheetId="73">'491'!$A:$C,'491'!$1:$10</definedName>
    <definedName name="_xlnm.Print_Titles" localSheetId="86">'492'!$A:$C,'492'!$1:$10</definedName>
    <definedName name="_xlnm.Print_Titles" localSheetId="93">'501'!$A:$C,'501'!$1:$10</definedName>
    <definedName name="_xlnm.Print_Titles" localSheetId="94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1">'Div 4'!$A:$C,'Div 4'!$1:$10</definedName>
    <definedName name="_xlnm.Print_Titles" localSheetId="92">'Div 5'!$A:$C,'Div 5'!$1:$10</definedName>
    <definedName name="_xlnm.Print_Titles" localSheetId="62">'Div 6'!$A:$C,'Div 6'!$1:$10</definedName>
    <definedName name="_xlnm.Print_Titles" localSheetId="14">'OSR_300 &amp; 317_1C00ID4'!$A:$C,'OSR_300 &amp; 317_1C00ID4'!$1:$10</definedName>
    <definedName name="_xlnm.Print_Titles" localSheetId="11">'OSR_300 (2)_7...54cb56fc_UFX0O2'!$A:$C,'OSR_300 (2)_7...54cb56fc_UFX0O2'!$1:$10</definedName>
    <definedName name="_xlnm.Print_Titles" localSheetId="15">'OSR_300 (2)_c...79cd3046_1TJM0H'!$A:$C,'OSR_300 (2)_c...79cd3046_1TJM0H'!$1:$10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(2)_0...c51cc666_QIOT67'!$A:$C,'OSR_491 (2)_0...c51cc666_QIOT67'!$1:$10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5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3">'OSR_Div 3 (2)...b7db256a_40ITCB'!$A:$C,'OSR_Div 3 (2)...b7db256a_40ITCB'!$1:$10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(2...09141158_1BG9FGV'!$A:$C,'OSR_Div 5 (2...09141158_1BG9FGV'!$1:$10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6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9" l="1"/>
  <c r="B38" i="99"/>
  <c r="T34" i="99"/>
  <c r="Z34" i="99" s="1"/>
  <c r="P34" i="99"/>
  <c r="H34" i="99"/>
  <c r="N34" i="99" s="1"/>
  <c r="D34" i="99"/>
  <c r="T33" i="99"/>
  <c r="P33" i="99"/>
  <c r="H33" i="99"/>
  <c r="N33" i="99" s="1"/>
  <c r="D33" i="99"/>
  <c r="T29" i="99"/>
  <c r="Z29" i="99" s="1"/>
  <c r="P29" i="99"/>
  <c r="H29" i="99"/>
  <c r="N29" i="99" s="1"/>
  <c r="D29" i="99"/>
  <c r="T25" i="99"/>
  <c r="Z25" i="99" s="1"/>
  <c r="P25" i="99"/>
  <c r="H25" i="99"/>
  <c r="N25" i="99" s="1"/>
  <c r="D25" i="99"/>
  <c r="B25" i="99"/>
  <c r="T24" i="99"/>
  <c r="P24" i="99"/>
  <c r="H24" i="99"/>
  <c r="N24" i="99" s="1"/>
  <c r="D24" i="99"/>
  <c r="T22" i="99"/>
  <c r="Z22" i="99" s="1"/>
  <c r="P22" i="99"/>
  <c r="H22" i="99"/>
  <c r="N22" i="99" s="1"/>
  <c r="D22" i="99"/>
  <c r="B22" i="99"/>
  <c r="T21" i="99"/>
  <c r="Z21" i="99" s="1"/>
  <c r="P21" i="99"/>
  <c r="H21" i="99"/>
  <c r="N21" i="99" s="1"/>
  <c r="D21" i="99"/>
  <c r="B21" i="99"/>
  <c r="T20" i="99"/>
  <c r="Z20" i="99" s="1"/>
  <c r="P20" i="99"/>
  <c r="H20" i="99"/>
  <c r="N20" i="99" s="1"/>
  <c r="D20" i="99"/>
  <c r="T16" i="99"/>
  <c r="Z16" i="99" s="1"/>
  <c r="P16" i="99"/>
  <c r="H16" i="99"/>
  <c r="N16" i="99" s="1"/>
  <c r="D16" i="99"/>
  <c r="B16" i="99"/>
  <c r="T15" i="99"/>
  <c r="Z15" i="99" s="1"/>
  <c r="P15" i="99"/>
  <c r="H15" i="99"/>
  <c r="N15" i="99" s="1"/>
  <c r="D15" i="99"/>
  <c r="T13" i="99"/>
  <c r="Z13" i="99" s="1"/>
  <c r="P13" i="99"/>
  <c r="H13" i="99"/>
  <c r="N13" i="99" s="1"/>
  <c r="D13" i="99"/>
  <c r="B13" i="99"/>
  <c r="T12" i="99"/>
  <c r="V34" i="99" s="1"/>
  <c r="P12" i="99"/>
  <c r="H12" i="99"/>
  <c r="J16" i="99" s="1"/>
  <c r="D12" i="99"/>
  <c r="F18" i="99" s="1"/>
  <c r="D6" i="99"/>
  <c r="D5" i="99"/>
  <c r="D4" i="99"/>
  <c r="B39" i="98"/>
  <c r="B38" i="98"/>
  <c r="T34" i="98"/>
  <c r="Z34" i="98" s="1"/>
  <c r="P34" i="98"/>
  <c r="H34" i="98"/>
  <c r="N34" i="98" s="1"/>
  <c r="D34" i="98"/>
  <c r="T33" i="98"/>
  <c r="P33" i="98"/>
  <c r="H33" i="98"/>
  <c r="N33" i="98" s="1"/>
  <c r="D33" i="98"/>
  <c r="T29" i="98"/>
  <c r="Z29" i="98" s="1"/>
  <c r="P29" i="98"/>
  <c r="H29" i="98"/>
  <c r="N29" i="98" s="1"/>
  <c r="D29" i="98"/>
  <c r="T25" i="98"/>
  <c r="Z25" i="98" s="1"/>
  <c r="P25" i="98"/>
  <c r="H25" i="98"/>
  <c r="N25" i="98" s="1"/>
  <c r="D25" i="98"/>
  <c r="B25" i="98"/>
  <c r="T24" i="98"/>
  <c r="Z24" i="98" s="1"/>
  <c r="P24" i="98"/>
  <c r="H24" i="98"/>
  <c r="D24" i="98"/>
  <c r="T22" i="98"/>
  <c r="Z22" i="98" s="1"/>
  <c r="P22" i="98"/>
  <c r="H22" i="98"/>
  <c r="N22" i="98" s="1"/>
  <c r="D22" i="98"/>
  <c r="B22" i="98"/>
  <c r="T21" i="98"/>
  <c r="Z21" i="98" s="1"/>
  <c r="P21" i="98"/>
  <c r="H21" i="98"/>
  <c r="N21" i="98" s="1"/>
  <c r="D21" i="98"/>
  <c r="B21" i="98"/>
  <c r="T20" i="98"/>
  <c r="P20" i="98"/>
  <c r="H20" i="98"/>
  <c r="N20" i="98" s="1"/>
  <c r="D20" i="98"/>
  <c r="T16" i="98"/>
  <c r="P16" i="98"/>
  <c r="H16" i="98"/>
  <c r="N16" i="98" s="1"/>
  <c r="D16" i="98"/>
  <c r="B16" i="98"/>
  <c r="T15" i="98"/>
  <c r="Z15" i="98" s="1"/>
  <c r="P15" i="98"/>
  <c r="H15" i="98"/>
  <c r="N15" i="98" s="1"/>
  <c r="D15" i="98"/>
  <c r="T13" i="98"/>
  <c r="Z13" i="98" s="1"/>
  <c r="P13" i="98"/>
  <c r="H13" i="98"/>
  <c r="N13" i="98" s="1"/>
  <c r="D13" i="98"/>
  <c r="B13" i="98"/>
  <c r="T12" i="98"/>
  <c r="V25" i="98" s="1"/>
  <c r="P12" i="98"/>
  <c r="R36" i="98" s="1"/>
  <c r="H12" i="98"/>
  <c r="J34" i="98" s="1"/>
  <c r="D12" i="98"/>
  <c r="F21" i="98" s="1"/>
  <c r="D6" i="98"/>
  <c r="D5" i="98"/>
  <c r="D4" i="98"/>
  <c r="B39" i="97"/>
  <c r="B38" i="97"/>
  <c r="T34" i="97"/>
  <c r="P34" i="97"/>
  <c r="H34" i="97"/>
  <c r="N34" i="97" s="1"/>
  <c r="D34" i="97"/>
  <c r="T33" i="97"/>
  <c r="Z33" i="97" s="1"/>
  <c r="P33" i="97"/>
  <c r="H33" i="97"/>
  <c r="N33" i="97" s="1"/>
  <c r="D33" i="97"/>
  <c r="T29" i="97"/>
  <c r="Z29" i="97" s="1"/>
  <c r="P29" i="97"/>
  <c r="H29" i="97"/>
  <c r="N29" i="97" s="1"/>
  <c r="D29" i="97"/>
  <c r="T25" i="97"/>
  <c r="Z25" i="97" s="1"/>
  <c r="P25" i="97"/>
  <c r="H25" i="97"/>
  <c r="N25" i="97" s="1"/>
  <c r="D25" i="97"/>
  <c r="B25" i="97"/>
  <c r="T24" i="97"/>
  <c r="Z24" i="97" s="1"/>
  <c r="P24" i="97"/>
  <c r="H24" i="97"/>
  <c r="N24" i="97" s="1"/>
  <c r="D24" i="97"/>
  <c r="T22" i="97"/>
  <c r="Z22" i="97" s="1"/>
  <c r="P22" i="97"/>
  <c r="H22" i="97"/>
  <c r="N22" i="97" s="1"/>
  <c r="D22" i="97"/>
  <c r="B22" i="97"/>
  <c r="T21" i="97"/>
  <c r="Z21" i="97" s="1"/>
  <c r="P21" i="97"/>
  <c r="H21" i="97"/>
  <c r="N21" i="97" s="1"/>
  <c r="D21" i="97"/>
  <c r="B21" i="97"/>
  <c r="T20" i="97"/>
  <c r="Z20" i="97" s="1"/>
  <c r="P20" i="97"/>
  <c r="H20" i="97"/>
  <c r="D20" i="97"/>
  <c r="T16" i="97"/>
  <c r="Z16" i="97" s="1"/>
  <c r="P16" i="97"/>
  <c r="H16" i="97"/>
  <c r="D16" i="97"/>
  <c r="B16" i="97"/>
  <c r="T15" i="97"/>
  <c r="Z15" i="97" s="1"/>
  <c r="P15" i="97"/>
  <c r="H15" i="97"/>
  <c r="N15" i="97" s="1"/>
  <c r="D15" i="97"/>
  <c r="T13" i="97"/>
  <c r="Z13" i="97" s="1"/>
  <c r="P13" i="97"/>
  <c r="H13" i="97"/>
  <c r="N13" i="97" s="1"/>
  <c r="D13" i="97"/>
  <c r="B13" i="97"/>
  <c r="T12" i="97"/>
  <c r="V24" i="97" s="1"/>
  <c r="P12" i="97"/>
  <c r="R34" i="97" s="1"/>
  <c r="H12" i="97"/>
  <c r="J33" i="97" s="1"/>
  <c r="D12" i="97"/>
  <c r="D6" i="97"/>
  <c r="D5" i="97"/>
  <c r="D4" i="97"/>
  <c r="Z60" i="96"/>
  <c r="X60" i="96"/>
  <c r="L60" i="96"/>
  <c r="N60" i="96" s="1"/>
  <c r="Z56" i="96"/>
  <c r="T56" i="96"/>
  <c r="X56" i="96" s="1"/>
  <c r="P56" i="96"/>
  <c r="H56" i="96"/>
  <c r="D56" i="96"/>
  <c r="B56" i="96"/>
  <c r="T55" i="96"/>
  <c r="P55" i="96"/>
  <c r="Z53" i="96"/>
  <c r="X53" i="96"/>
  <c r="L53" i="96"/>
  <c r="N53" i="96" s="1"/>
  <c r="B53" i="96"/>
  <c r="T52" i="96"/>
  <c r="P52" i="96"/>
  <c r="X52" i="96" s="1"/>
  <c r="Z52" i="96" s="1"/>
  <c r="H52" i="96"/>
  <c r="D52" i="96"/>
  <c r="B52" i="96"/>
  <c r="Z51" i="96"/>
  <c r="X51" i="96"/>
  <c r="N51" i="96"/>
  <c r="L51" i="96"/>
  <c r="B51" i="96"/>
  <c r="T50" i="96"/>
  <c r="P50" i="96"/>
  <c r="L50" i="96"/>
  <c r="J50" i="96"/>
  <c r="H50" i="96"/>
  <c r="N50" i="96" s="1"/>
  <c r="D50" i="96"/>
  <c r="B50" i="96"/>
  <c r="X49" i="96"/>
  <c r="Z49" i="96" s="1"/>
  <c r="N49" i="96"/>
  <c r="L49" i="96"/>
  <c r="B49" i="96"/>
  <c r="Z48" i="96"/>
  <c r="X48" i="96"/>
  <c r="N48" i="96"/>
  <c r="L48" i="96"/>
  <c r="B48" i="96"/>
  <c r="T47" i="96"/>
  <c r="R47" i="96"/>
  <c r="P47" i="96"/>
  <c r="X47" i="96" s="1"/>
  <c r="Z47" i="96" s="1"/>
  <c r="H47" i="96"/>
  <c r="D47" i="96"/>
  <c r="B47" i="96"/>
  <c r="Z46" i="96"/>
  <c r="X46" i="96"/>
  <c r="L46" i="96"/>
  <c r="N46" i="96" s="1"/>
  <c r="B46" i="96"/>
  <c r="T45" i="96"/>
  <c r="P45" i="96"/>
  <c r="L45" i="96"/>
  <c r="N45" i="96" s="1"/>
  <c r="H45" i="96"/>
  <c r="D45" i="96"/>
  <c r="B45" i="96"/>
  <c r="X44" i="96"/>
  <c r="Z44" i="96" s="1"/>
  <c r="L44" i="96"/>
  <c r="N44" i="96" s="1"/>
  <c r="B44" i="96"/>
  <c r="X43" i="96"/>
  <c r="Z43" i="96" s="1"/>
  <c r="T43" i="96"/>
  <c r="P43" i="96"/>
  <c r="H43" i="96"/>
  <c r="D43" i="96"/>
  <c r="B43" i="96"/>
  <c r="Z42" i="96"/>
  <c r="X42" i="96"/>
  <c r="N42" i="96"/>
  <c r="L42" i="96"/>
  <c r="B42" i="96"/>
  <c r="Z41" i="96"/>
  <c r="X41" i="96"/>
  <c r="N41" i="96"/>
  <c r="L41" i="96"/>
  <c r="B41" i="96"/>
  <c r="X40" i="96"/>
  <c r="Z40" i="96" s="1"/>
  <c r="T40" i="96"/>
  <c r="P40" i="96"/>
  <c r="H40" i="96"/>
  <c r="L40" i="96" s="1"/>
  <c r="N40" i="96" s="1"/>
  <c r="D40" i="96"/>
  <c r="B40" i="96"/>
  <c r="X39" i="96"/>
  <c r="Z39" i="96" s="1"/>
  <c r="N39" i="96"/>
  <c r="L39" i="96"/>
  <c r="B39" i="96"/>
  <c r="Z38" i="96"/>
  <c r="X38" i="96"/>
  <c r="T38" i="96"/>
  <c r="P38" i="96"/>
  <c r="H38" i="96"/>
  <c r="D38" i="96"/>
  <c r="L38" i="96" s="1"/>
  <c r="B38" i="96"/>
  <c r="Z37" i="96"/>
  <c r="X37" i="96"/>
  <c r="N37" i="96"/>
  <c r="L37" i="96"/>
  <c r="J37" i="96"/>
  <c r="B37" i="96"/>
  <c r="X36" i="96"/>
  <c r="T36" i="96"/>
  <c r="Z36" i="96" s="1"/>
  <c r="P36" i="96"/>
  <c r="H36" i="96"/>
  <c r="N36" i="96" s="1"/>
  <c r="D36" i="96"/>
  <c r="B36" i="96"/>
  <c r="Z35" i="96"/>
  <c r="X35" i="96"/>
  <c r="L35" i="96"/>
  <c r="N35" i="96" s="1"/>
  <c r="J35" i="96"/>
  <c r="B35" i="96"/>
  <c r="Z34" i="96"/>
  <c r="X34" i="96"/>
  <c r="N34" i="96"/>
  <c r="L34" i="96"/>
  <c r="B34" i="96"/>
  <c r="Z33" i="96"/>
  <c r="X33" i="96"/>
  <c r="N33" i="96"/>
  <c r="L33" i="96"/>
  <c r="B33" i="96"/>
  <c r="Z32" i="96"/>
  <c r="X32" i="96"/>
  <c r="N32" i="96"/>
  <c r="L32" i="96"/>
  <c r="J32" i="96"/>
  <c r="B32" i="96"/>
  <c r="X31" i="96"/>
  <c r="Z31" i="96" s="1"/>
  <c r="N31" i="96"/>
  <c r="L31" i="96"/>
  <c r="B31" i="96"/>
  <c r="Z30" i="96"/>
  <c r="X30" i="96"/>
  <c r="N30" i="96"/>
  <c r="L30" i="96"/>
  <c r="B30" i="96"/>
  <c r="V29" i="96"/>
  <c r="T29" i="96"/>
  <c r="P29" i="96"/>
  <c r="H29" i="96"/>
  <c r="D29" i="96"/>
  <c r="L29" i="96" s="1"/>
  <c r="N29" i="96" s="1"/>
  <c r="B29" i="96"/>
  <c r="X28" i="96"/>
  <c r="Z28" i="96" s="1"/>
  <c r="L28" i="96"/>
  <c r="N28" i="96" s="1"/>
  <c r="F28" i="96"/>
  <c r="B28" i="96"/>
  <c r="X27" i="96"/>
  <c r="Z27" i="96" s="1"/>
  <c r="L27" i="96"/>
  <c r="N27" i="96" s="1"/>
  <c r="B27" i="96"/>
  <c r="X26" i="96"/>
  <c r="Z26" i="96" s="1"/>
  <c r="L26" i="96"/>
  <c r="N26" i="96" s="1"/>
  <c r="F26" i="96"/>
  <c r="B26" i="96"/>
  <c r="X25" i="96"/>
  <c r="Z25" i="96" s="1"/>
  <c r="L25" i="96"/>
  <c r="N25" i="96" s="1"/>
  <c r="J25" i="96"/>
  <c r="B25" i="96"/>
  <c r="Z24" i="96"/>
  <c r="X24" i="96"/>
  <c r="L24" i="96"/>
  <c r="N24" i="96" s="1"/>
  <c r="B24" i="96"/>
  <c r="Z23" i="96"/>
  <c r="X23" i="96"/>
  <c r="N23" i="96"/>
  <c r="L23" i="96"/>
  <c r="B23" i="96"/>
  <c r="X22" i="96"/>
  <c r="Z22" i="96" s="1"/>
  <c r="V22" i="96"/>
  <c r="R22" i="96"/>
  <c r="N22" i="96"/>
  <c r="L22" i="96"/>
  <c r="B22" i="96"/>
  <c r="X21" i="96"/>
  <c r="Z21" i="96" s="1"/>
  <c r="V21" i="96"/>
  <c r="L21" i="96"/>
  <c r="N21" i="96" s="1"/>
  <c r="B21" i="96"/>
  <c r="X20" i="96"/>
  <c r="Z20" i="96" s="1"/>
  <c r="T20" i="96"/>
  <c r="P20" i="96"/>
  <c r="H20" i="96"/>
  <c r="D20" i="96"/>
  <c r="B20" i="96"/>
  <c r="T19" i="96"/>
  <c r="R19" i="96"/>
  <c r="P19" i="96"/>
  <c r="X19" i="96" s="1"/>
  <c r="H19" i="96"/>
  <c r="D19" i="96"/>
  <c r="L19" i="96" s="1"/>
  <c r="T15" i="96"/>
  <c r="Z15" i="96" s="1"/>
  <c r="R15" i="96"/>
  <c r="P15" i="96"/>
  <c r="X15" i="96" s="1"/>
  <c r="H15" i="96"/>
  <c r="N15" i="96" s="1"/>
  <c r="D15" i="96"/>
  <c r="L15" i="96" s="1"/>
  <c r="Z13" i="96"/>
  <c r="X13" i="96"/>
  <c r="T13" i="96"/>
  <c r="P13" i="96"/>
  <c r="P12" i="96" s="1"/>
  <c r="H13" i="96"/>
  <c r="D13" i="96"/>
  <c r="L13" i="96" s="1"/>
  <c r="N13" i="96" s="1"/>
  <c r="B13" i="96"/>
  <c r="T12" i="96"/>
  <c r="V53" i="96" s="1"/>
  <c r="H12" i="96"/>
  <c r="D12" i="96"/>
  <c r="F60" i="96" s="1"/>
  <c r="D6" i="96"/>
  <c r="D4" i="96"/>
  <c r="R31" i="95"/>
  <c r="J28" i="95"/>
  <c r="Z26" i="95"/>
  <c r="X26" i="95"/>
  <c r="N26" i="95"/>
  <c r="L26" i="95"/>
  <c r="R24" i="95"/>
  <c r="X22" i="95"/>
  <c r="Z22" i="95" s="1"/>
  <c r="T22" i="95"/>
  <c r="P22" i="95"/>
  <c r="J22" i="95"/>
  <c r="H22" i="95"/>
  <c r="D22" i="95"/>
  <c r="B22" i="95"/>
  <c r="T21" i="95"/>
  <c r="R21" i="95"/>
  <c r="P21" i="95"/>
  <c r="H21" i="95"/>
  <c r="N21" i="95" s="1"/>
  <c r="D21" i="95"/>
  <c r="B21" i="95"/>
  <c r="R20" i="95"/>
  <c r="V18" i="95"/>
  <c r="T18" i="95"/>
  <c r="Z18" i="95" s="1"/>
  <c r="R18" i="95"/>
  <c r="P18" i="95"/>
  <c r="X18" i="95" s="1"/>
  <c r="N18" i="95"/>
  <c r="H18" i="95"/>
  <c r="D18" i="95"/>
  <c r="L18" i="95" s="1"/>
  <c r="R16" i="95"/>
  <c r="V14" i="95"/>
  <c r="T14" i="95"/>
  <c r="Z14" i="95" s="1"/>
  <c r="R14" i="95"/>
  <c r="P14" i="95"/>
  <c r="N14" i="95"/>
  <c r="H14" i="95"/>
  <c r="D14" i="95"/>
  <c r="L14" i="95" s="1"/>
  <c r="Z12" i="95"/>
  <c r="T12" i="95"/>
  <c r="V20" i="95" s="1"/>
  <c r="P12" i="95"/>
  <c r="X12" i="95" s="1"/>
  <c r="H12" i="95"/>
  <c r="D12" i="95"/>
  <c r="F14" i="95" s="1"/>
  <c r="D6" i="95"/>
  <c r="D4" i="95"/>
  <c r="Z80" i="94"/>
  <c r="X80" i="94"/>
  <c r="L80" i="94"/>
  <c r="N80" i="94" s="1"/>
  <c r="Z76" i="94"/>
  <c r="X76" i="94"/>
  <c r="T76" i="94"/>
  <c r="P76" i="94"/>
  <c r="H76" i="94"/>
  <c r="N76" i="94" s="1"/>
  <c r="D76" i="94"/>
  <c r="L76" i="94" s="1"/>
  <c r="Z74" i="94"/>
  <c r="X74" i="94"/>
  <c r="N74" i="94"/>
  <c r="L74" i="94"/>
  <c r="B74" i="94"/>
  <c r="T73" i="94"/>
  <c r="Z73" i="94" s="1"/>
  <c r="P73" i="94"/>
  <c r="X73" i="94" s="1"/>
  <c r="H73" i="94"/>
  <c r="N73" i="94" s="1"/>
  <c r="D73" i="94"/>
  <c r="L73" i="94" s="1"/>
  <c r="B73" i="94"/>
  <c r="Z72" i="94"/>
  <c r="X72" i="94"/>
  <c r="N72" i="94"/>
  <c r="L72" i="94"/>
  <c r="B72" i="94"/>
  <c r="T71" i="94"/>
  <c r="P71" i="94"/>
  <c r="X71" i="94" s="1"/>
  <c r="N71" i="94"/>
  <c r="L71" i="94"/>
  <c r="H71" i="94"/>
  <c r="D71" i="94"/>
  <c r="B71" i="94"/>
  <c r="Z70" i="94"/>
  <c r="X70" i="94"/>
  <c r="N70" i="94"/>
  <c r="L70" i="94"/>
  <c r="B70" i="94"/>
  <c r="Z69" i="94"/>
  <c r="X69" i="94"/>
  <c r="N69" i="94"/>
  <c r="L69" i="94"/>
  <c r="B69" i="94"/>
  <c r="Z68" i="94"/>
  <c r="X68" i="94"/>
  <c r="N68" i="94"/>
  <c r="L68" i="94"/>
  <c r="B68" i="94"/>
  <c r="Z67" i="94"/>
  <c r="X67" i="94"/>
  <c r="N67" i="94"/>
  <c r="L67" i="94"/>
  <c r="B67" i="94"/>
  <c r="Z66" i="94"/>
  <c r="X66" i="94"/>
  <c r="N66" i="94"/>
  <c r="L66" i="94"/>
  <c r="B66" i="94"/>
  <c r="T65" i="94"/>
  <c r="P65" i="94"/>
  <c r="X65" i="94" s="1"/>
  <c r="H65" i="94"/>
  <c r="N65" i="94" s="1"/>
  <c r="D65" i="94"/>
  <c r="L65" i="94" s="1"/>
  <c r="B65" i="94"/>
  <c r="Z64" i="94"/>
  <c r="X64" i="94"/>
  <c r="N64" i="94"/>
  <c r="L64" i="94"/>
  <c r="B64" i="94"/>
  <c r="X63" i="94"/>
  <c r="Z63" i="94" s="1"/>
  <c r="N63" i="94"/>
  <c r="L63" i="94"/>
  <c r="B63" i="94"/>
  <c r="T62" i="94"/>
  <c r="P62" i="94"/>
  <c r="X62" i="94" s="1"/>
  <c r="Z62" i="94" s="1"/>
  <c r="N62" i="94"/>
  <c r="L62" i="94"/>
  <c r="H62" i="94"/>
  <c r="D62" i="94"/>
  <c r="B62" i="94"/>
  <c r="Z61" i="94"/>
  <c r="X61" i="94"/>
  <c r="L61" i="94"/>
  <c r="N61" i="94" s="1"/>
  <c r="B61" i="94"/>
  <c r="Z60" i="94"/>
  <c r="X60" i="94"/>
  <c r="T60" i="94"/>
  <c r="P60" i="94"/>
  <c r="L60" i="94"/>
  <c r="N60" i="94" s="1"/>
  <c r="H60" i="94"/>
  <c r="D60" i="94"/>
  <c r="B60" i="94"/>
  <c r="Z59" i="94"/>
  <c r="X59" i="94"/>
  <c r="N59" i="94"/>
  <c r="L59" i="94"/>
  <c r="B59" i="94"/>
  <c r="Z58" i="94"/>
  <c r="X58" i="94"/>
  <c r="T58" i="94"/>
  <c r="P58" i="94"/>
  <c r="H58" i="94"/>
  <c r="N58" i="94" s="1"/>
  <c r="D58" i="94"/>
  <c r="B58" i="94"/>
  <c r="X57" i="94"/>
  <c r="Z57" i="94" s="1"/>
  <c r="N57" i="94"/>
  <c r="L57" i="94"/>
  <c r="B57" i="94"/>
  <c r="T56" i="94"/>
  <c r="P56" i="94"/>
  <c r="X56" i="94" s="1"/>
  <c r="N56" i="94"/>
  <c r="H56" i="94"/>
  <c r="D56" i="94"/>
  <c r="L56" i="94" s="1"/>
  <c r="B56" i="94"/>
  <c r="X55" i="94"/>
  <c r="Z55" i="94" s="1"/>
  <c r="N55" i="94"/>
  <c r="L55" i="94"/>
  <c r="B55" i="94"/>
  <c r="T54" i="94"/>
  <c r="P54" i="94"/>
  <c r="X54" i="94" s="1"/>
  <c r="Z54" i="94" s="1"/>
  <c r="N54" i="94"/>
  <c r="H54" i="94"/>
  <c r="L54" i="94" s="1"/>
  <c r="D54" i="94"/>
  <c r="B54" i="94"/>
  <c r="X53" i="94"/>
  <c r="Z53" i="94" s="1"/>
  <c r="N53" i="94"/>
  <c r="L53" i="94"/>
  <c r="B53" i="94"/>
  <c r="T52" i="94"/>
  <c r="P52" i="94"/>
  <c r="N52" i="94"/>
  <c r="H52" i="94"/>
  <c r="D52" i="94"/>
  <c r="L52" i="94" s="1"/>
  <c r="B52" i="94"/>
  <c r="Z51" i="94"/>
  <c r="X51" i="94"/>
  <c r="N51" i="94"/>
  <c r="L51" i="94"/>
  <c r="B51" i="94"/>
  <c r="T50" i="94"/>
  <c r="Z50" i="94" s="1"/>
  <c r="P50" i="94"/>
  <c r="X50" i="94" s="1"/>
  <c r="H50" i="94"/>
  <c r="N50" i="94" s="1"/>
  <c r="D50" i="94"/>
  <c r="B50" i="94"/>
  <c r="Z49" i="94"/>
  <c r="X49" i="94"/>
  <c r="N49" i="94"/>
  <c r="L49" i="94"/>
  <c r="B49" i="94"/>
  <c r="T48" i="94"/>
  <c r="Z48" i="94" s="1"/>
  <c r="P48" i="94"/>
  <c r="X48" i="94" s="1"/>
  <c r="N48" i="94"/>
  <c r="H48" i="94"/>
  <c r="D48" i="94"/>
  <c r="L48" i="94" s="1"/>
  <c r="B48" i="94"/>
  <c r="Z47" i="94"/>
  <c r="X47" i="94"/>
  <c r="L47" i="94"/>
  <c r="N47" i="94" s="1"/>
  <c r="B47" i="94"/>
  <c r="T46" i="94"/>
  <c r="P46" i="94"/>
  <c r="X46" i="94" s="1"/>
  <c r="N46" i="94"/>
  <c r="L46" i="94"/>
  <c r="H46" i="94"/>
  <c r="D46" i="94"/>
  <c r="B46" i="94"/>
  <c r="Z45" i="94"/>
  <c r="X45" i="94"/>
  <c r="N45" i="94"/>
  <c r="L45" i="94"/>
  <c r="B45" i="94"/>
  <c r="Z44" i="94"/>
  <c r="X44" i="94"/>
  <c r="T44" i="94"/>
  <c r="P44" i="94"/>
  <c r="H44" i="94"/>
  <c r="N44" i="94" s="1"/>
  <c r="D44" i="94"/>
  <c r="B44" i="94"/>
  <c r="X43" i="94"/>
  <c r="Z43" i="94" s="1"/>
  <c r="N43" i="94"/>
  <c r="L43" i="94"/>
  <c r="B43" i="94"/>
  <c r="V42" i="94"/>
  <c r="T42" i="94"/>
  <c r="P42" i="94"/>
  <c r="H42" i="94"/>
  <c r="N42" i="94" s="1"/>
  <c r="D42" i="94"/>
  <c r="L42" i="94" s="1"/>
  <c r="B42" i="94"/>
  <c r="Z41" i="94"/>
  <c r="X41" i="94"/>
  <c r="N41" i="94"/>
  <c r="L41" i="94"/>
  <c r="B41" i="94"/>
  <c r="T40" i="94"/>
  <c r="Z40" i="94" s="1"/>
  <c r="P40" i="94"/>
  <c r="X40" i="94" s="1"/>
  <c r="H40" i="94"/>
  <c r="N40" i="94" s="1"/>
  <c r="D40" i="94"/>
  <c r="L40" i="94" s="1"/>
  <c r="B40" i="94"/>
  <c r="Z39" i="94"/>
  <c r="X39" i="94"/>
  <c r="N39" i="94"/>
  <c r="L39" i="94"/>
  <c r="B39" i="94"/>
  <c r="X38" i="94"/>
  <c r="Z38" i="94" s="1"/>
  <c r="L38" i="94"/>
  <c r="N38" i="94" s="1"/>
  <c r="B38" i="94"/>
  <c r="Z37" i="94"/>
  <c r="X37" i="94"/>
  <c r="N37" i="94"/>
  <c r="L37" i="94"/>
  <c r="B37" i="94"/>
  <c r="Z36" i="94"/>
  <c r="X36" i="94"/>
  <c r="N36" i="94"/>
  <c r="L36" i="94"/>
  <c r="B36" i="94"/>
  <c r="X35" i="94"/>
  <c r="Z35" i="94" s="1"/>
  <c r="N35" i="94"/>
  <c r="L35" i="94"/>
  <c r="B35" i="94"/>
  <c r="T34" i="94"/>
  <c r="P34" i="94"/>
  <c r="H34" i="94"/>
  <c r="F34" i="94"/>
  <c r="D34" i="94"/>
  <c r="L34" i="94" s="1"/>
  <c r="B34" i="94"/>
  <c r="X33" i="94"/>
  <c r="Z33" i="94" s="1"/>
  <c r="L33" i="94"/>
  <c r="N33" i="94" s="1"/>
  <c r="B33" i="94"/>
  <c r="Z32" i="94"/>
  <c r="X32" i="94"/>
  <c r="N32" i="94"/>
  <c r="L32" i="94"/>
  <c r="B32" i="94"/>
  <c r="X31" i="94"/>
  <c r="Z31" i="94" s="1"/>
  <c r="N31" i="94"/>
  <c r="L31" i="94"/>
  <c r="B31" i="94"/>
  <c r="X30" i="94"/>
  <c r="Z30" i="94" s="1"/>
  <c r="V30" i="94"/>
  <c r="L30" i="94"/>
  <c r="N30" i="94" s="1"/>
  <c r="B30" i="94"/>
  <c r="X29" i="94"/>
  <c r="Z29" i="94" s="1"/>
  <c r="L29" i="94"/>
  <c r="N29" i="94" s="1"/>
  <c r="B29" i="94"/>
  <c r="Z28" i="94"/>
  <c r="X28" i="94"/>
  <c r="N28" i="94"/>
  <c r="L28" i="94"/>
  <c r="B28" i="94"/>
  <c r="Z27" i="94"/>
  <c r="X27" i="94"/>
  <c r="L27" i="94"/>
  <c r="N27" i="94" s="1"/>
  <c r="B27" i="94"/>
  <c r="X26" i="94"/>
  <c r="Z26" i="94" s="1"/>
  <c r="L26" i="94"/>
  <c r="N26" i="94" s="1"/>
  <c r="B26" i="94"/>
  <c r="X25" i="94"/>
  <c r="Z25" i="94" s="1"/>
  <c r="L25" i="94"/>
  <c r="N25" i="94" s="1"/>
  <c r="B25" i="94"/>
  <c r="T24" i="94"/>
  <c r="Z24" i="94" s="1"/>
  <c r="P24" i="94"/>
  <c r="X24" i="94" s="1"/>
  <c r="H24" i="94"/>
  <c r="D24" i="94"/>
  <c r="L24" i="94" s="1"/>
  <c r="B24" i="94"/>
  <c r="T23" i="94"/>
  <c r="P23" i="94"/>
  <c r="X23" i="94" s="1"/>
  <c r="Z23" i="94" s="1"/>
  <c r="L23" i="94"/>
  <c r="N23" i="94" s="1"/>
  <c r="H23" i="94"/>
  <c r="D23" i="94"/>
  <c r="Z19" i="94"/>
  <c r="X19" i="94"/>
  <c r="N19" i="94"/>
  <c r="L19" i="94"/>
  <c r="B19" i="94"/>
  <c r="Z18" i="94"/>
  <c r="X18" i="94"/>
  <c r="N18" i="94"/>
  <c r="L18" i="94"/>
  <c r="B18" i="94"/>
  <c r="Z17" i="94"/>
  <c r="T17" i="94"/>
  <c r="P17" i="94"/>
  <c r="X17" i="94" s="1"/>
  <c r="H17" i="94"/>
  <c r="N17" i="94" s="1"/>
  <c r="D17" i="94"/>
  <c r="L17" i="94" s="1"/>
  <c r="X15" i="94"/>
  <c r="T15" i="94"/>
  <c r="Z15" i="94" s="1"/>
  <c r="P15" i="94"/>
  <c r="N15" i="94"/>
  <c r="L15" i="94"/>
  <c r="H15" i="94"/>
  <c r="D15" i="94"/>
  <c r="B15" i="94"/>
  <c r="Z14" i="94"/>
  <c r="X14" i="94"/>
  <c r="T14" i="94"/>
  <c r="P14" i="94"/>
  <c r="H14" i="94"/>
  <c r="D14" i="94"/>
  <c r="L14" i="94" s="1"/>
  <c r="N14" i="94" s="1"/>
  <c r="B14" i="94"/>
  <c r="Z13" i="94"/>
  <c r="T13" i="94"/>
  <c r="P13" i="94"/>
  <c r="H13" i="94"/>
  <c r="N13" i="94" s="1"/>
  <c r="D13" i="94"/>
  <c r="L13" i="94" s="1"/>
  <c r="B13" i="94"/>
  <c r="T12" i="94"/>
  <c r="H12" i="94"/>
  <c r="D12" i="94"/>
  <c r="D6" i="94"/>
  <c r="D4" i="94"/>
  <c r="Z80" i="93"/>
  <c r="X80" i="93"/>
  <c r="L80" i="93"/>
  <c r="N80" i="93" s="1"/>
  <c r="Z76" i="93"/>
  <c r="X76" i="93"/>
  <c r="T76" i="93"/>
  <c r="R76" i="93"/>
  <c r="P76" i="93"/>
  <c r="H76" i="93"/>
  <c r="D76" i="93"/>
  <c r="Z74" i="93"/>
  <c r="X74" i="93"/>
  <c r="N74" i="93"/>
  <c r="L74" i="93"/>
  <c r="B74" i="93"/>
  <c r="T73" i="93"/>
  <c r="P73" i="93"/>
  <c r="N73" i="93"/>
  <c r="H73" i="93"/>
  <c r="D73" i="93"/>
  <c r="L73" i="93" s="1"/>
  <c r="B73" i="93"/>
  <c r="X72" i="93"/>
  <c r="Z72" i="93" s="1"/>
  <c r="L72" i="93"/>
  <c r="N72" i="93" s="1"/>
  <c r="B72" i="93"/>
  <c r="X71" i="93"/>
  <c r="Z71" i="93" s="1"/>
  <c r="T71" i="93"/>
  <c r="P71" i="93"/>
  <c r="H71" i="93"/>
  <c r="D71" i="93"/>
  <c r="B71" i="93"/>
  <c r="X70" i="93"/>
  <c r="Z70" i="93" s="1"/>
  <c r="N70" i="93"/>
  <c r="L70" i="93"/>
  <c r="B70" i="93"/>
  <c r="Z69" i="93"/>
  <c r="X69" i="93"/>
  <c r="N69" i="93"/>
  <c r="L69" i="93"/>
  <c r="B69" i="93"/>
  <c r="X68" i="93"/>
  <c r="Z68" i="93" s="1"/>
  <c r="N68" i="93"/>
  <c r="L68" i="93"/>
  <c r="B68" i="93"/>
  <c r="X67" i="93"/>
  <c r="Z67" i="93" s="1"/>
  <c r="L67" i="93"/>
  <c r="N67" i="93" s="1"/>
  <c r="J67" i="93"/>
  <c r="B67" i="93"/>
  <c r="X66" i="93"/>
  <c r="Z66" i="93" s="1"/>
  <c r="L66" i="93"/>
  <c r="N66" i="93" s="1"/>
  <c r="B66" i="93"/>
  <c r="Z65" i="93"/>
  <c r="X65" i="93"/>
  <c r="N65" i="93"/>
  <c r="L65" i="93"/>
  <c r="F65" i="93"/>
  <c r="B65" i="93"/>
  <c r="X64" i="93"/>
  <c r="Z64" i="93" s="1"/>
  <c r="L64" i="93"/>
  <c r="N64" i="93" s="1"/>
  <c r="B64" i="93"/>
  <c r="T63" i="93"/>
  <c r="P63" i="93"/>
  <c r="X63" i="93" s="1"/>
  <c r="Z63" i="93" s="1"/>
  <c r="N63" i="93"/>
  <c r="J63" i="93"/>
  <c r="H63" i="93"/>
  <c r="L63" i="93" s="1"/>
  <c r="D63" i="93"/>
  <c r="B63" i="93"/>
  <c r="X62" i="93"/>
  <c r="Z62" i="93" s="1"/>
  <c r="N62" i="93"/>
  <c r="L62" i="93"/>
  <c r="B62" i="93"/>
  <c r="Z61" i="93"/>
  <c r="X61" i="93"/>
  <c r="N61" i="93"/>
  <c r="L61" i="93"/>
  <c r="B61" i="93"/>
  <c r="X60" i="93"/>
  <c r="Z60" i="93" s="1"/>
  <c r="N60" i="93"/>
  <c r="L60" i="93"/>
  <c r="B60" i="93"/>
  <c r="X59" i="93"/>
  <c r="Z59" i="93" s="1"/>
  <c r="T59" i="93"/>
  <c r="P59" i="93"/>
  <c r="N59" i="93"/>
  <c r="H59" i="93"/>
  <c r="L59" i="93" s="1"/>
  <c r="D59" i="93"/>
  <c r="B59" i="93"/>
  <c r="Z58" i="93"/>
  <c r="X58" i="93"/>
  <c r="N58" i="93"/>
  <c r="L58" i="93"/>
  <c r="B58" i="93"/>
  <c r="Z57" i="93"/>
  <c r="X57" i="93"/>
  <c r="N57" i="93"/>
  <c r="L57" i="93"/>
  <c r="B57" i="93"/>
  <c r="T56" i="93"/>
  <c r="P56" i="93"/>
  <c r="X56" i="93" s="1"/>
  <c r="H56" i="93"/>
  <c r="N56" i="93" s="1"/>
  <c r="D56" i="93"/>
  <c r="L56" i="93" s="1"/>
  <c r="B56" i="93"/>
  <c r="X55" i="93"/>
  <c r="Z55" i="93" s="1"/>
  <c r="L55" i="93"/>
  <c r="N55" i="93" s="1"/>
  <c r="J55" i="93"/>
  <c r="B55" i="93"/>
  <c r="T54" i="93"/>
  <c r="P54" i="93"/>
  <c r="L54" i="93"/>
  <c r="J54" i="93"/>
  <c r="H54" i="93"/>
  <c r="D54" i="93"/>
  <c r="B54" i="93"/>
  <c r="Z53" i="93"/>
  <c r="X53" i="93"/>
  <c r="N53" i="93"/>
  <c r="L53" i="93"/>
  <c r="B53" i="93"/>
  <c r="T52" i="93"/>
  <c r="P52" i="93"/>
  <c r="X52" i="93" s="1"/>
  <c r="N52" i="93"/>
  <c r="H52" i="93"/>
  <c r="L52" i="93" s="1"/>
  <c r="D52" i="93"/>
  <c r="B52" i="93"/>
  <c r="X51" i="93"/>
  <c r="Z51" i="93" s="1"/>
  <c r="L51" i="93"/>
  <c r="N51" i="93" s="1"/>
  <c r="B51" i="93"/>
  <c r="T50" i="93"/>
  <c r="P50" i="93"/>
  <c r="L50" i="93"/>
  <c r="H50" i="93"/>
  <c r="D50" i="93"/>
  <c r="B50" i="93"/>
  <c r="Z49" i="93"/>
  <c r="X49" i="93"/>
  <c r="N49" i="93"/>
  <c r="L49" i="93"/>
  <c r="B49" i="93"/>
  <c r="T48" i="93"/>
  <c r="P48" i="93"/>
  <c r="X48" i="93" s="1"/>
  <c r="H48" i="93"/>
  <c r="D48" i="93"/>
  <c r="L48" i="93" s="1"/>
  <c r="B48" i="93"/>
  <c r="X47" i="93"/>
  <c r="Z47" i="93" s="1"/>
  <c r="L47" i="93"/>
  <c r="N47" i="93" s="1"/>
  <c r="J47" i="93"/>
  <c r="B47" i="93"/>
  <c r="T46" i="93"/>
  <c r="P46" i="93"/>
  <c r="L46" i="93"/>
  <c r="J46" i="93"/>
  <c r="H46" i="93"/>
  <c r="D46" i="93"/>
  <c r="B46" i="93"/>
  <c r="Z45" i="93"/>
  <c r="X45" i="93"/>
  <c r="N45" i="93"/>
  <c r="L45" i="93"/>
  <c r="B45" i="93"/>
  <c r="T44" i="93"/>
  <c r="Z44" i="93" s="1"/>
  <c r="P44" i="93"/>
  <c r="X44" i="93" s="1"/>
  <c r="H44" i="93"/>
  <c r="L44" i="93" s="1"/>
  <c r="D44" i="93"/>
  <c r="B44" i="93"/>
  <c r="X43" i="93"/>
  <c r="Z43" i="93" s="1"/>
  <c r="N43" i="93"/>
  <c r="L43" i="93"/>
  <c r="B43" i="93"/>
  <c r="X42" i="93"/>
  <c r="Z42" i="93" s="1"/>
  <c r="T42" i="93"/>
  <c r="P42" i="93"/>
  <c r="H42" i="93"/>
  <c r="N42" i="93" s="1"/>
  <c r="D42" i="93"/>
  <c r="L42" i="93" s="1"/>
  <c r="B42" i="93"/>
  <c r="X41" i="93"/>
  <c r="Z41" i="93" s="1"/>
  <c r="N41" i="93"/>
  <c r="L41" i="93"/>
  <c r="J41" i="93"/>
  <c r="B41" i="93"/>
  <c r="T40" i="93"/>
  <c r="P40" i="93"/>
  <c r="X40" i="93" s="1"/>
  <c r="Z40" i="93" s="1"/>
  <c r="N40" i="93"/>
  <c r="H40" i="93"/>
  <c r="L40" i="93" s="1"/>
  <c r="D40" i="93"/>
  <c r="B40" i="93"/>
  <c r="X39" i="93"/>
  <c r="Z39" i="93" s="1"/>
  <c r="L39" i="93"/>
  <c r="N39" i="93" s="1"/>
  <c r="B39" i="93"/>
  <c r="X38" i="93"/>
  <c r="Z38" i="93" s="1"/>
  <c r="N38" i="93"/>
  <c r="L38" i="93"/>
  <c r="B38" i="93"/>
  <c r="X37" i="93"/>
  <c r="Z37" i="93" s="1"/>
  <c r="N37" i="93"/>
  <c r="L37" i="93"/>
  <c r="B37" i="93"/>
  <c r="Z36" i="93"/>
  <c r="X36" i="93"/>
  <c r="L36" i="93"/>
  <c r="N36" i="93" s="1"/>
  <c r="B36" i="93"/>
  <c r="Z35" i="93"/>
  <c r="X35" i="93"/>
  <c r="L35" i="93"/>
  <c r="N35" i="93" s="1"/>
  <c r="B35" i="93"/>
  <c r="T34" i="93"/>
  <c r="P34" i="93"/>
  <c r="X34" i="93" s="1"/>
  <c r="Z34" i="93" s="1"/>
  <c r="H34" i="93"/>
  <c r="D34" i="93"/>
  <c r="L34" i="93" s="1"/>
  <c r="B34" i="93"/>
  <c r="X33" i="93"/>
  <c r="Z33" i="93" s="1"/>
  <c r="N33" i="93"/>
  <c r="L33" i="93"/>
  <c r="B33" i="93"/>
  <c r="Z32" i="93"/>
  <c r="X32" i="93"/>
  <c r="L32" i="93"/>
  <c r="N32" i="93" s="1"/>
  <c r="B32" i="93"/>
  <c r="Z31" i="93"/>
  <c r="X31" i="93"/>
  <c r="N31" i="93"/>
  <c r="L31" i="93"/>
  <c r="B31" i="93"/>
  <c r="X30" i="93"/>
  <c r="Z30" i="93" s="1"/>
  <c r="R30" i="93"/>
  <c r="N30" i="93"/>
  <c r="L30" i="93"/>
  <c r="B30" i="93"/>
  <c r="X29" i="93"/>
  <c r="Z29" i="93" s="1"/>
  <c r="L29" i="93"/>
  <c r="N29" i="93" s="1"/>
  <c r="B29" i="93"/>
  <c r="X28" i="93"/>
  <c r="Z28" i="93" s="1"/>
  <c r="N28" i="93"/>
  <c r="L28" i="93"/>
  <c r="B28" i="93"/>
  <c r="Z27" i="93"/>
  <c r="X27" i="93"/>
  <c r="N27" i="93"/>
  <c r="L27" i="93"/>
  <c r="B27" i="93"/>
  <c r="Z26" i="93"/>
  <c r="X26" i="93"/>
  <c r="L26" i="93"/>
  <c r="N26" i="93" s="1"/>
  <c r="B26" i="93"/>
  <c r="X25" i="93"/>
  <c r="Z25" i="93" s="1"/>
  <c r="L25" i="93"/>
  <c r="N25" i="93" s="1"/>
  <c r="J25" i="93"/>
  <c r="B25" i="93"/>
  <c r="T24" i="93"/>
  <c r="P24" i="93"/>
  <c r="X24" i="93" s="1"/>
  <c r="Z24" i="93" s="1"/>
  <c r="H24" i="93"/>
  <c r="L24" i="93" s="1"/>
  <c r="D24" i="93"/>
  <c r="B24" i="93"/>
  <c r="T23" i="93"/>
  <c r="X23" i="93" s="1"/>
  <c r="Z23" i="93" s="1"/>
  <c r="P23" i="93"/>
  <c r="J23" i="93"/>
  <c r="H23" i="93"/>
  <c r="D23" i="93"/>
  <c r="L23" i="93" s="1"/>
  <c r="Z19" i="93"/>
  <c r="X19" i="93"/>
  <c r="N19" i="93"/>
  <c r="L19" i="93"/>
  <c r="B19" i="93"/>
  <c r="Z18" i="93"/>
  <c r="X18" i="93"/>
  <c r="N18" i="93"/>
  <c r="L18" i="93"/>
  <c r="B18" i="93"/>
  <c r="X17" i="93"/>
  <c r="T17" i="93"/>
  <c r="Z17" i="93" s="1"/>
  <c r="P17" i="93"/>
  <c r="H17" i="93"/>
  <c r="L17" i="93" s="1"/>
  <c r="N17" i="93" s="1"/>
  <c r="D17" i="93"/>
  <c r="T15" i="93"/>
  <c r="P15" i="93"/>
  <c r="L15" i="93"/>
  <c r="H15" i="93"/>
  <c r="N15" i="93" s="1"/>
  <c r="D15" i="93"/>
  <c r="B15" i="93"/>
  <c r="X14" i="93"/>
  <c r="Z14" i="93" s="1"/>
  <c r="T14" i="93"/>
  <c r="P14" i="93"/>
  <c r="N14" i="93"/>
  <c r="L14" i="93"/>
  <c r="H14" i="93"/>
  <c r="D14" i="93"/>
  <c r="B14" i="93"/>
  <c r="T13" i="93"/>
  <c r="P13" i="93"/>
  <c r="P12" i="93" s="1"/>
  <c r="H13" i="93"/>
  <c r="D13" i="93"/>
  <c r="L13" i="93" s="1"/>
  <c r="N13" i="93" s="1"/>
  <c r="B13" i="93"/>
  <c r="H12" i="93"/>
  <c r="J68" i="93" s="1"/>
  <c r="D12" i="93"/>
  <c r="D6" i="93"/>
  <c r="D4" i="93"/>
  <c r="Z26" i="92"/>
  <c r="X26" i="92"/>
  <c r="N26" i="92"/>
  <c r="L26" i="92"/>
  <c r="Z22" i="92"/>
  <c r="X22" i="92"/>
  <c r="T22" i="92"/>
  <c r="P22" i="92"/>
  <c r="H22" i="92"/>
  <c r="N22" i="92" s="1"/>
  <c r="D22" i="92"/>
  <c r="L22" i="92" s="1"/>
  <c r="Z20" i="92"/>
  <c r="X20" i="92"/>
  <c r="N20" i="92"/>
  <c r="L20" i="92"/>
  <c r="B20" i="92"/>
  <c r="T19" i="92"/>
  <c r="P19" i="92"/>
  <c r="X19" i="92" s="1"/>
  <c r="N19" i="92"/>
  <c r="L19" i="92"/>
  <c r="H19" i="92"/>
  <c r="D19" i="92"/>
  <c r="B19" i="92"/>
  <c r="V18" i="92"/>
  <c r="T18" i="92"/>
  <c r="P18" i="92"/>
  <c r="X18" i="92" s="1"/>
  <c r="N18" i="92"/>
  <c r="L18" i="92"/>
  <c r="H18" i="92"/>
  <c r="F18" i="92"/>
  <c r="D18" i="92"/>
  <c r="T16" i="92"/>
  <c r="F16" i="92"/>
  <c r="D16" i="92"/>
  <c r="V14" i="92"/>
  <c r="T14" i="92"/>
  <c r="Z14" i="92" s="1"/>
  <c r="P14" i="92"/>
  <c r="X14" i="92" s="1"/>
  <c r="N14" i="92"/>
  <c r="L14" i="92"/>
  <c r="H14" i="92"/>
  <c r="F14" i="92"/>
  <c r="D14" i="92"/>
  <c r="T12" i="92"/>
  <c r="V31" i="92" s="1"/>
  <c r="P12" i="92"/>
  <c r="H12" i="92"/>
  <c r="J31" i="92" s="1"/>
  <c r="D12" i="92"/>
  <c r="F26" i="92" s="1"/>
  <c r="D6" i="92"/>
  <c r="D4" i="92"/>
  <c r="X77" i="91"/>
  <c r="Z77" i="91" s="1"/>
  <c r="N77" i="91"/>
  <c r="L77" i="91"/>
  <c r="Z73" i="91"/>
  <c r="T73" i="91"/>
  <c r="P73" i="91"/>
  <c r="X73" i="91" s="1"/>
  <c r="H73" i="91"/>
  <c r="N73" i="91" s="1"/>
  <c r="D73" i="91"/>
  <c r="L73" i="91" s="1"/>
  <c r="X71" i="91"/>
  <c r="Z71" i="91" s="1"/>
  <c r="N71" i="91"/>
  <c r="L71" i="91"/>
  <c r="B71" i="91"/>
  <c r="Z70" i="91"/>
  <c r="T70" i="91"/>
  <c r="X70" i="91" s="1"/>
  <c r="P70" i="91"/>
  <c r="H70" i="91"/>
  <c r="N70" i="91" s="1"/>
  <c r="D70" i="91"/>
  <c r="L70" i="91" s="1"/>
  <c r="B70" i="91"/>
  <c r="Z69" i="91"/>
  <c r="X69" i="91"/>
  <c r="R69" i="91"/>
  <c r="N69" i="91"/>
  <c r="L69" i="91"/>
  <c r="B69" i="91"/>
  <c r="X68" i="91"/>
  <c r="Z68" i="91" s="1"/>
  <c r="N68" i="91"/>
  <c r="L68" i="91"/>
  <c r="B68" i="91"/>
  <c r="X67" i="91"/>
  <c r="Z67" i="91" s="1"/>
  <c r="N67" i="91"/>
  <c r="L67" i="91"/>
  <c r="B67" i="91"/>
  <c r="Z66" i="91"/>
  <c r="X66" i="91"/>
  <c r="N66" i="91"/>
  <c r="L66" i="91"/>
  <c r="B66" i="91"/>
  <c r="Z65" i="91"/>
  <c r="X65" i="91"/>
  <c r="L65" i="91"/>
  <c r="N65" i="91" s="1"/>
  <c r="B65" i="91"/>
  <c r="X64" i="91"/>
  <c r="Z64" i="91" s="1"/>
  <c r="L64" i="91"/>
  <c r="N64" i="91" s="1"/>
  <c r="B64" i="91"/>
  <c r="Z63" i="91"/>
  <c r="X63" i="91"/>
  <c r="N63" i="91"/>
  <c r="L63" i="91"/>
  <c r="B63" i="91"/>
  <c r="T62" i="91"/>
  <c r="P62" i="91"/>
  <c r="X62" i="91" s="1"/>
  <c r="L62" i="91"/>
  <c r="H62" i="91"/>
  <c r="D62" i="91"/>
  <c r="B62" i="91"/>
  <c r="Z61" i="91"/>
  <c r="X61" i="91"/>
  <c r="N61" i="91"/>
  <c r="L61" i="91"/>
  <c r="B61" i="91"/>
  <c r="X60" i="91"/>
  <c r="Z60" i="91" s="1"/>
  <c r="L60" i="91"/>
  <c r="N60" i="91" s="1"/>
  <c r="B60" i="91"/>
  <c r="Z59" i="91"/>
  <c r="X59" i="91"/>
  <c r="N59" i="91"/>
  <c r="L59" i="91"/>
  <c r="B59" i="91"/>
  <c r="T58" i="91"/>
  <c r="P58" i="91"/>
  <c r="X58" i="91" s="1"/>
  <c r="L58" i="91"/>
  <c r="N58" i="91" s="1"/>
  <c r="H58" i="91"/>
  <c r="D58" i="91"/>
  <c r="B58" i="91"/>
  <c r="Z57" i="91"/>
  <c r="X57" i="91"/>
  <c r="N57" i="91"/>
  <c r="L57" i="91"/>
  <c r="B57" i="91"/>
  <c r="X56" i="91"/>
  <c r="Z56" i="91" s="1"/>
  <c r="L56" i="91"/>
  <c r="N56" i="91" s="1"/>
  <c r="B56" i="91"/>
  <c r="Z55" i="91"/>
  <c r="T55" i="91"/>
  <c r="P55" i="91"/>
  <c r="X55" i="91" s="1"/>
  <c r="H55" i="91"/>
  <c r="L55" i="91" s="1"/>
  <c r="D55" i="91"/>
  <c r="B55" i="91"/>
  <c r="Z54" i="91"/>
  <c r="X54" i="91"/>
  <c r="N54" i="91"/>
  <c r="L54" i="91"/>
  <c r="B54" i="91"/>
  <c r="T53" i="91"/>
  <c r="X53" i="91" s="1"/>
  <c r="P53" i="91"/>
  <c r="N53" i="91"/>
  <c r="L53" i="91"/>
  <c r="H53" i="91"/>
  <c r="D53" i="91"/>
  <c r="B53" i="91"/>
  <c r="X52" i="91"/>
  <c r="Z52" i="91" s="1"/>
  <c r="N52" i="91"/>
  <c r="L52" i="91"/>
  <c r="B52" i="91"/>
  <c r="X51" i="91"/>
  <c r="Z51" i="91" s="1"/>
  <c r="T51" i="91"/>
  <c r="R51" i="91"/>
  <c r="P51" i="91"/>
  <c r="H51" i="91"/>
  <c r="N51" i="91" s="1"/>
  <c r="D51" i="91"/>
  <c r="B51" i="91"/>
  <c r="Z50" i="91"/>
  <c r="X50" i="91"/>
  <c r="R50" i="91"/>
  <c r="N50" i="91"/>
  <c r="L50" i="91"/>
  <c r="B50" i="91"/>
  <c r="T49" i="91"/>
  <c r="P49" i="91"/>
  <c r="X49" i="91" s="1"/>
  <c r="H49" i="91"/>
  <c r="D49" i="91"/>
  <c r="L49" i="91" s="1"/>
  <c r="N49" i="91" s="1"/>
  <c r="B49" i="91"/>
  <c r="Z48" i="91"/>
  <c r="X48" i="91"/>
  <c r="N48" i="91"/>
  <c r="L48" i="91"/>
  <c r="B48" i="91"/>
  <c r="Z47" i="91"/>
  <c r="X47" i="91"/>
  <c r="T47" i="91"/>
  <c r="P47" i="91"/>
  <c r="H47" i="91"/>
  <c r="D47" i="91"/>
  <c r="B47" i="91"/>
  <c r="Z46" i="91"/>
  <c r="X46" i="91"/>
  <c r="N46" i="91"/>
  <c r="L46" i="91"/>
  <c r="B46" i="91"/>
  <c r="T45" i="91"/>
  <c r="P45" i="91"/>
  <c r="N45" i="91"/>
  <c r="H45" i="91"/>
  <c r="D45" i="91"/>
  <c r="L45" i="91" s="1"/>
  <c r="B45" i="91"/>
  <c r="Z44" i="91"/>
  <c r="X44" i="91"/>
  <c r="N44" i="91"/>
  <c r="L44" i="91"/>
  <c r="B44" i="91"/>
  <c r="Z43" i="91"/>
  <c r="X43" i="91"/>
  <c r="T43" i="91"/>
  <c r="P43" i="91"/>
  <c r="H43" i="91"/>
  <c r="N43" i="91" s="1"/>
  <c r="D43" i="91"/>
  <c r="B43" i="91"/>
  <c r="Z42" i="91"/>
  <c r="X42" i="91"/>
  <c r="N42" i="91"/>
  <c r="L42" i="91"/>
  <c r="B42" i="91"/>
  <c r="T41" i="91"/>
  <c r="Z41" i="91" s="1"/>
  <c r="P41" i="91"/>
  <c r="X41" i="91" s="1"/>
  <c r="N41" i="91"/>
  <c r="H41" i="91"/>
  <c r="D41" i="91"/>
  <c r="L41" i="91" s="1"/>
  <c r="B41" i="91"/>
  <c r="X40" i="91"/>
  <c r="Z40" i="91" s="1"/>
  <c r="N40" i="91"/>
  <c r="L40" i="91"/>
  <c r="B40" i="91"/>
  <c r="T39" i="91"/>
  <c r="P39" i="91"/>
  <c r="X39" i="91" s="1"/>
  <c r="Z39" i="91" s="1"/>
  <c r="H39" i="91"/>
  <c r="D39" i="91"/>
  <c r="B39" i="91"/>
  <c r="Z38" i="91"/>
  <c r="X38" i="91"/>
  <c r="N38" i="91"/>
  <c r="L38" i="91"/>
  <c r="B38" i="91"/>
  <c r="Z37" i="91"/>
  <c r="X37" i="91"/>
  <c r="R37" i="91"/>
  <c r="N37" i="91"/>
  <c r="L37" i="91"/>
  <c r="B37" i="91"/>
  <c r="X36" i="91"/>
  <c r="Z36" i="91" s="1"/>
  <c r="L36" i="91"/>
  <c r="N36" i="91" s="1"/>
  <c r="B36" i="91"/>
  <c r="X35" i="91"/>
  <c r="Z35" i="91" s="1"/>
  <c r="N35" i="91"/>
  <c r="L35" i="91"/>
  <c r="B35" i="91"/>
  <c r="T34" i="91"/>
  <c r="P34" i="91"/>
  <c r="H34" i="91"/>
  <c r="D34" i="91"/>
  <c r="L34" i="91" s="1"/>
  <c r="N34" i="91" s="1"/>
  <c r="B34" i="91"/>
  <c r="X33" i="91"/>
  <c r="Z33" i="91" s="1"/>
  <c r="L33" i="91"/>
  <c r="N33" i="91" s="1"/>
  <c r="B33" i="91"/>
  <c r="Z32" i="91"/>
  <c r="X32" i="91"/>
  <c r="L32" i="91"/>
  <c r="N32" i="91" s="1"/>
  <c r="B32" i="91"/>
  <c r="X31" i="91"/>
  <c r="Z31" i="91" s="1"/>
  <c r="N31" i="91"/>
  <c r="L31" i="91"/>
  <c r="B31" i="91"/>
  <c r="Z30" i="91"/>
  <c r="X30" i="91"/>
  <c r="L30" i="91"/>
  <c r="N30" i="91" s="1"/>
  <c r="B30" i="91"/>
  <c r="X29" i="91"/>
  <c r="Z29" i="91" s="1"/>
  <c r="N29" i="91"/>
  <c r="L29" i="91"/>
  <c r="B29" i="91"/>
  <c r="X28" i="91"/>
  <c r="Z28" i="91" s="1"/>
  <c r="L28" i="91"/>
  <c r="N28" i="91" s="1"/>
  <c r="B28" i="91"/>
  <c r="Z27" i="91"/>
  <c r="X27" i="91"/>
  <c r="L27" i="91"/>
  <c r="N27" i="91" s="1"/>
  <c r="B27" i="91"/>
  <c r="Z26" i="91"/>
  <c r="X26" i="91"/>
  <c r="N26" i="91"/>
  <c r="L26" i="91"/>
  <c r="B26" i="91"/>
  <c r="Z25" i="91"/>
  <c r="X25" i="91"/>
  <c r="L25" i="91"/>
  <c r="N25" i="91" s="1"/>
  <c r="B25" i="91"/>
  <c r="Z24" i="91"/>
  <c r="X24" i="91"/>
  <c r="T24" i="91"/>
  <c r="P24" i="91"/>
  <c r="L24" i="91"/>
  <c r="N24" i="91" s="1"/>
  <c r="H24" i="91"/>
  <c r="D24" i="91"/>
  <c r="B24" i="91"/>
  <c r="T23" i="91"/>
  <c r="P23" i="91"/>
  <c r="X23" i="91" s="1"/>
  <c r="L23" i="91"/>
  <c r="N23" i="91" s="1"/>
  <c r="H23" i="91"/>
  <c r="D23" i="91"/>
  <c r="X19" i="91"/>
  <c r="Z19" i="91" s="1"/>
  <c r="N19" i="91"/>
  <c r="L19" i="91"/>
  <c r="J19" i="91"/>
  <c r="B19" i="91"/>
  <c r="X18" i="91"/>
  <c r="Z18" i="91" s="1"/>
  <c r="N18" i="91"/>
  <c r="L18" i="91"/>
  <c r="B18" i="91"/>
  <c r="T17" i="91"/>
  <c r="Z17" i="91" s="1"/>
  <c r="R17" i="91"/>
  <c r="P17" i="91"/>
  <c r="X17" i="91" s="1"/>
  <c r="H17" i="91"/>
  <c r="N17" i="91" s="1"/>
  <c r="D17" i="91"/>
  <c r="L17" i="91" s="1"/>
  <c r="X15" i="91"/>
  <c r="Z15" i="91" s="1"/>
  <c r="T15" i="91"/>
  <c r="P15" i="91"/>
  <c r="H15" i="91"/>
  <c r="D15" i="91"/>
  <c r="L15" i="91" s="1"/>
  <c r="N15" i="91" s="1"/>
  <c r="B15" i="91"/>
  <c r="Z14" i="91"/>
  <c r="T14" i="91"/>
  <c r="P14" i="91"/>
  <c r="X14" i="91" s="1"/>
  <c r="H14" i="91"/>
  <c r="D14" i="91"/>
  <c r="L14" i="91" s="1"/>
  <c r="B14" i="91"/>
  <c r="T13" i="91"/>
  <c r="P13" i="91"/>
  <c r="P12" i="91" s="1"/>
  <c r="R42" i="91" s="1"/>
  <c r="H13" i="91"/>
  <c r="N13" i="91" s="1"/>
  <c r="D13" i="91"/>
  <c r="B13" i="91"/>
  <c r="H12" i="91"/>
  <c r="J73" i="91" s="1"/>
  <c r="D6" i="91"/>
  <c r="D4" i="91"/>
  <c r="V51" i="90"/>
  <c r="R51" i="90"/>
  <c r="F51" i="90"/>
  <c r="Z46" i="90"/>
  <c r="X46" i="90"/>
  <c r="V46" i="90"/>
  <c r="R46" i="90"/>
  <c r="N46" i="90"/>
  <c r="L46" i="90"/>
  <c r="V44" i="90"/>
  <c r="R44" i="90"/>
  <c r="F44" i="90"/>
  <c r="Z42" i="90"/>
  <c r="T42" i="90"/>
  <c r="P42" i="90"/>
  <c r="X42" i="90" s="1"/>
  <c r="N42" i="90"/>
  <c r="L42" i="90"/>
  <c r="H42" i="90"/>
  <c r="D42" i="90"/>
  <c r="Z40" i="90"/>
  <c r="X40" i="90"/>
  <c r="V40" i="90"/>
  <c r="R40" i="90"/>
  <c r="N40" i="90"/>
  <c r="L40" i="90"/>
  <c r="B40" i="90"/>
  <c r="V39" i="90"/>
  <c r="T39" i="90"/>
  <c r="P39" i="90"/>
  <c r="H39" i="90"/>
  <c r="N39" i="90" s="1"/>
  <c r="F39" i="90"/>
  <c r="D39" i="90"/>
  <c r="L39" i="90" s="1"/>
  <c r="B39" i="90"/>
  <c r="X38" i="90"/>
  <c r="Z38" i="90" s="1"/>
  <c r="L38" i="90"/>
  <c r="N38" i="90" s="1"/>
  <c r="B38" i="90"/>
  <c r="T37" i="90"/>
  <c r="Z37" i="90" s="1"/>
  <c r="R37" i="90"/>
  <c r="P37" i="90"/>
  <c r="X37" i="90" s="1"/>
  <c r="H37" i="90"/>
  <c r="D37" i="90"/>
  <c r="L37" i="90" s="1"/>
  <c r="B37" i="90"/>
  <c r="Z36" i="90"/>
  <c r="X36" i="90"/>
  <c r="V36" i="90"/>
  <c r="R36" i="90"/>
  <c r="N36" i="90"/>
  <c r="L36" i="90"/>
  <c r="F36" i="90"/>
  <c r="B36" i="90"/>
  <c r="X35" i="90"/>
  <c r="Z35" i="90" s="1"/>
  <c r="V35" i="90"/>
  <c r="N35" i="90"/>
  <c r="L35" i="90"/>
  <c r="F35" i="90"/>
  <c r="B35" i="90"/>
  <c r="T34" i="90"/>
  <c r="R34" i="90"/>
  <c r="P34" i="90"/>
  <c r="X34" i="90" s="1"/>
  <c r="Z34" i="90" s="1"/>
  <c r="N34" i="90"/>
  <c r="H34" i="90"/>
  <c r="D34" i="90"/>
  <c r="L34" i="90" s="1"/>
  <c r="B34" i="90"/>
  <c r="Z33" i="90"/>
  <c r="X33" i="90"/>
  <c r="R33" i="90"/>
  <c r="N33" i="90"/>
  <c r="L33" i="90"/>
  <c r="F33" i="90"/>
  <c r="B33" i="90"/>
  <c r="Z32" i="90"/>
  <c r="V32" i="90"/>
  <c r="T32" i="90"/>
  <c r="P32" i="90"/>
  <c r="X32" i="90" s="1"/>
  <c r="N32" i="90"/>
  <c r="L32" i="90"/>
  <c r="J32" i="90"/>
  <c r="H32" i="90"/>
  <c r="D32" i="90"/>
  <c r="B32" i="90"/>
  <c r="X31" i="90"/>
  <c r="Z31" i="90" s="1"/>
  <c r="V31" i="90"/>
  <c r="R31" i="90"/>
  <c r="L31" i="90"/>
  <c r="N31" i="90" s="1"/>
  <c r="B31" i="90"/>
  <c r="X30" i="90"/>
  <c r="Z30" i="90" s="1"/>
  <c r="V30" i="90"/>
  <c r="T30" i="90"/>
  <c r="R30" i="90"/>
  <c r="P30" i="90"/>
  <c r="H30" i="90"/>
  <c r="F30" i="90"/>
  <c r="D30" i="90"/>
  <c r="B30" i="90"/>
  <c r="Z29" i="90"/>
  <c r="X29" i="90"/>
  <c r="R29" i="90"/>
  <c r="L29" i="90"/>
  <c r="N29" i="90" s="1"/>
  <c r="B29" i="90"/>
  <c r="V28" i="90"/>
  <c r="T28" i="90"/>
  <c r="R28" i="90"/>
  <c r="P28" i="90"/>
  <c r="H28" i="90"/>
  <c r="F28" i="90"/>
  <c r="D28" i="90"/>
  <c r="L28" i="90" s="1"/>
  <c r="N28" i="90" s="1"/>
  <c r="B28" i="90"/>
  <c r="X27" i="90"/>
  <c r="Z27" i="90" s="1"/>
  <c r="V27" i="90"/>
  <c r="L27" i="90"/>
  <c r="N27" i="90" s="1"/>
  <c r="F27" i="90"/>
  <c r="B27" i="90"/>
  <c r="X26" i="90"/>
  <c r="Z26" i="90" s="1"/>
  <c r="L26" i="90"/>
  <c r="N26" i="90" s="1"/>
  <c r="J26" i="90"/>
  <c r="B26" i="90"/>
  <c r="Z25" i="90"/>
  <c r="X25" i="90"/>
  <c r="R25" i="90"/>
  <c r="L25" i="90"/>
  <c r="N25" i="90" s="1"/>
  <c r="F25" i="90"/>
  <c r="B25" i="90"/>
  <c r="Z24" i="90"/>
  <c r="X24" i="90"/>
  <c r="V24" i="90"/>
  <c r="R24" i="90"/>
  <c r="N24" i="90"/>
  <c r="L24" i="90"/>
  <c r="F24" i="90"/>
  <c r="B24" i="90"/>
  <c r="X23" i="90"/>
  <c r="Z23" i="90" s="1"/>
  <c r="V23" i="90"/>
  <c r="R23" i="90"/>
  <c r="L23" i="90"/>
  <c r="N23" i="90" s="1"/>
  <c r="B23" i="90"/>
  <c r="X22" i="90"/>
  <c r="Z22" i="90" s="1"/>
  <c r="V22" i="90"/>
  <c r="L22" i="90"/>
  <c r="N22" i="90" s="1"/>
  <c r="B22" i="90"/>
  <c r="X21" i="90"/>
  <c r="Z21" i="90" s="1"/>
  <c r="R21" i="90"/>
  <c r="N21" i="90"/>
  <c r="L21" i="90"/>
  <c r="F21" i="90"/>
  <c r="B21" i="90"/>
  <c r="Z20" i="90"/>
  <c r="X20" i="90"/>
  <c r="V20" i="90"/>
  <c r="R20" i="90"/>
  <c r="N20" i="90"/>
  <c r="L20" i="90"/>
  <c r="F20" i="90"/>
  <c r="B20" i="90"/>
  <c r="V19" i="90"/>
  <c r="T19" i="90"/>
  <c r="P19" i="90"/>
  <c r="X19" i="90" s="1"/>
  <c r="L19" i="90"/>
  <c r="N19" i="90" s="1"/>
  <c r="H19" i="90"/>
  <c r="F19" i="90"/>
  <c r="D19" i="90"/>
  <c r="B19" i="90"/>
  <c r="X18" i="90"/>
  <c r="Z18" i="90" s="1"/>
  <c r="V18" i="90"/>
  <c r="T18" i="90"/>
  <c r="R18" i="90"/>
  <c r="P18" i="90"/>
  <c r="H18" i="90"/>
  <c r="F18" i="90"/>
  <c r="D18" i="90"/>
  <c r="R16" i="90"/>
  <c r="P16" i="90"/>
  <c r="Z14" i="90"/>
  <c r="X14" i="90"/>
  <c r="V14" i="90"/>
  <c r="T14" i="90"/>
  <c r="R14" i="90"/>
  <c r="P14" i="90"/>
  <c r="H14" i="90"/>
  <c r="N14" i="90" s="1"/>
  <c r="F14" i="90"/>
  <c r="D14" i="90"/>
  <c r="Z12" i="90"/>
  <c r="X12" i="90"/>
  <c r="T12" i="90"/>
  <c r="V33" i="90" s="1"/>
  <c r="P12" i="90"/>
  <c r="R39" i="90" s="1"/>
  <c r="H12" i="90"/>
  <c r="J38" i="90" s="1"/>
  <c r="D12" i="90"/>
  <c r="F38" i="90" s="1"/>
  <c r="D6" i="90"/>
  <c r="D4" i="90"/>
  <c r="V44" i="89"/>
  <c r="R44" i="89"/>
  <c r="V41" i="89"/>
  <c r="J41" i="89"/>
  <c r="Z39" i="89"/>
  <c r="X39" i="89"/>
  <c r="V39" i="89"/>
  <c r="R39" i="89"/>
  <c r="N39" i="89"/>
  <c r="L39" i="89"/>
  <c r="V37" i="89"/>
  <c r="R37" i="89"/>
  <c r="F37" i="89"/>
  <c r="Z35" i="89"/>
  <c r="V35" i="89"/>
  <c r="T35" i="89"/>
  <c r="X35" i="89" s="1"/>
  <c r="P35" i="89"/>
  <c r="N35" i="89"/>
  <c r="L35" i="89"/>
  <c r="J35" i="89"/>
  <c r="H35" i="89"/>
  <c r="D35" i="89"/>
  <c r="X33" i="89"/>
  <c r="Z33" i="89" s="1"/>
  <c r="V33" i="89"/>
  <c r="R33" i="89"/>
  <c r="N33" i="89"/>
  <c r="L33" i="89"/>
  <c r="B33" i="89"/>
  <c r="V32" i="89"/>
  <c r="T32" i="89"/>
  <c r="P32" i="89"/>
  <c r="H32" i="89"/>
  <c r="N32" i="89" s="1"/>
  <c r="F32" i="89"/>
  <c r="D32" i="89"/>
  <c r="L32" i="89" s="1"/>
  <c r="B32" i="89"/>
  <c r="X31" i="89"/>
  <c r="Z31" i="89" s="1"/>
  <c r="N31" i="89"/>
  <c r="L31" i="89"/>
  <c r="J31" i="89"/>
  <c r="B31" i="89"/>
  <c r="T30" i="89"/>
  <c r="R30" i="89"/>
  <c r="P30" i="89"/>
  <c r="X30" i="89" s="1"/>
  <c r="N30" i="89"/>
  <c r="J30" i="89"/>
  <c r="H30" i="89"/>
  <c r="D30" i="89"/>
  <c r="L30" i="89" s="1"/>
  <c r="B30" i="89"/>
  <c r="Z29" i="89"/>
  <c r="X29" i="89"/>
  <c r="V29" i="89"/>
  <c r="N29" i="89"/>
  <c r="L29" i="89"/>
  <c r="J29" i="89"/>
  <c r="F29" i="89"/>
  <c r="B29" i="89"/>
  <c r="V28" i="89"/>
  <c r="T28" i="89"/>
  <c r="P28" i="89"/>
  <c r="X28" i="89" s="1"/>
  <c r="Z28" i="89" s="1"/>
  <c r="N28" i="89"/>
  <c r="L28" i="89"/>
  <c r="H28" i="89"/>
  <c r="D28" i="89"/>
  <c r="B28" i="89"/>
  <c r="X27" i="89"/>
  <c r="Z27" i="89" s="1"/>
  <c r="V27" i="89"/>
  <c r="N27" i="89"/>
  <c r="L27" i="89"/>
  <c r="B27" i="89"/>
  <c r="X26" i="89"/>
  <c r="Z26" i="89" s="1"/>
  <c r="V26" i="89"/>
  <c r="T26" i="89"/>
  <c r="P26" i="89"/>
  <c r="J26" i="89"/>
  <c r="H26" i="89"/>
  <c r="D26" i="89"/>
  <c r="B26" i="89"/>
  <c r="Z25" i="89"/>
  <c r="X25" i="89"/>
  <c r="V25" i="89"/>
  <c r="R25" i="89"/>
  <c r="N25" i="89"/>
  <c r="L25" i="89"/>
  <c r="J25" i="89"/>
  <c r="B25" i="89"/>
  <c r="X24" i="89"/>
  <c r="Z24" i="89" s="1"/>
  <c r="V24" i="89"/>
  <c r="R24" i="89"/>
  <c r="N24" i="89"/>
  <c r="L24" i="89"/>
  <c r="J24" i="89"/>
  <c r="B24" i="89"/>
  <c r="X23" i="89"/>
  <c r="Z23" i="89" s="1"/>
  <c r="V23" i="89"/>
  <c r="N23" i="89"/>
  <c r="L23" i="89"/>
  <c r="B23" i="89"/>
  <c r="Z22" i="89"/>
  <c r="X22" i="89"/>
  <c r="V22" i="89"/>
  <c r="N22" i="89"/>
  <c r="L22" i="89"/>
  <c r="F22" i="89"/>
  <c r="B22" i="89"/>
  <c r="Z21" i="89"/>
  <c r="X21" i="89"/>
  <c r="V21" i="89"/>
  <c r="N21" i="89"/>
  <c r="L21" i="89"/>
  <c r="J21" i="89"/>
  <c r="F21" i="89"/>
  <c r="B21" i="89"/>
  <c r="V20" i="89"/>
  <c r="T20" i="89"/>
  <c r="P20" i="89"/>
  <c r="X20" i="89" s="1"/>
  <c r="Z20" i="89" s="1"/>
  <c r="N20" i="89"/>
  <c r="L20" i="89"/>
  <c r="H20" i="89"/>
  <c r="F20" i="89"/>
  <c r="D20" i="89"/>
  <c r="B20" i="89"/>
  <c r="X19" i="89"/>
  <c r="Z19" i="89" s="1"/>
  <c r="V19" i="89"/>
  <c r="T19" i="89"/>
  <c r="P19" i="89"/>
  <c r="J19" i="89"/>
  <c r="H19" i="89"/>
  <c r="F19" i="89"/>
  <c r="D19" i="89"/>
  <c r="L19" i="89" s="1"/>
  <c r="P17" i="89"/>
  <c r="J17" i="89"/>
  <c r="Z15" i="89"/>
  <c r="X15" i="89"/>
  <c r="V15" i="89"/>
  <c r="N15" i="89"/>
  <c r="L15" i="89"/>
  <c r="B15" i="89"/>
  <c r="Z14" i="89"/>
  <c r="X14" i="89"/>
  <c r="V14" i="89"/>
  <c r="T14" i="89"/>
  <c r="P14" i="89"/>
  <c r="J14" i="89"/>
  <c r="H14" i="89"/>
  <c r="D14" i="89"/>
  <c r="Z12" i="89"/>
  <c r="T12" i="89"/>
  <c r="V31" i="89" s="1"/>
  <c r="P12" i="89"/>
  <c r="R32" i="89" s="1"/>
  <c r="N12" i="89"/>
  <c r="L12" i="89"/>
  <c r="H12" i="89"/>
  <c r="J28" i="89" s="1"/>
  <c r="D12" i="89"/>
  <c r="F31" i="89" s="1"/>
  <c r="D6" i="89"/>
  <c r="D4" i="89"/>
  <c r="V37" i="88"/>
  <c r="F37" i="88"/>
  <c r="Z32" i="88"/>
  <c r="X32" i="88"/>
  <c r="V32" i="88"/>
  <c r="R32" i="88"/>
  <c r="N32" i="88"/>
  <c r="L32" i="88"/>
  <c r="V30" i="88"/>
  <c r="R30" i="88"/>
  <c r="F30" i="88"/>
  <c r="Z28" i="88"/>
  <c r="T28" i="88"/>
  <c r="P28" i="88"/>
  <c r="X28" i="88" s="1"/>
  <c r="N28" i="88"/>
  <c r="L28" i="88"/>
  <c r="H28" i="88"/>
  <c r="D28" i="88"/>
  <c r="X26" i="88"/>
  <c r="Z26" i="88" s="1"/>
  <c r="V26" i="88"/>
  <c r="R26" i="88"/>
  <c r="N26" i="88"/>
  <c r="L26" i="88"/>
  <c r="B26" i="88"/>
  <c r="X25" i="88"/>
  <c r="Z25" i="88" s="1"/>
  <c r="V25" i="88"/>
  <c r="T25" i="88"/>
  <c r="R25" i="88"/>
  <c r="P25" i="88"/>
  <c r="H25" i="88"/>
  <c r="N25" i="88" s="1"/>
  <c r="F25" i="88"/>
  <c r="D25" i="88"/>
  <c r="L25" i="88" s="1"/>
  <c r="B25" i="88"/>
  <c r="Z24" i="88"/>
  <c r="X24" i="88"/>
  <c r="R24" i="88"/>
  <c r="N24" i="88"/>
  <c r="L24" i="88"/>
  <c r="B24" i="88"/>
  <c r="V23" i="88"/>
  <c r="T23" i="88"/>
  <c r="R23" i="88"/>
  <c r="P23" i="88"/>
  <c r="H23" i="88"/>
  <c r="D23" i="88"/>
  <c r="L23" i="88" s="1"/>
  <c r="N23" i="88" s="1"/>
  <c r="B23" i="88"/>
  <c r="X22" i="88"/>
  <c r="Z22" i="88" s="1"/>
  <c r="N22" i="88"/>
  <c r="L22" i="88"/>
  <c r="J22" i="88"/>
  <c r="B22" i="88"/>
  <c r="T21" i="88"/>
  <c r="R21" i="88"/>
  <c r="P21" i="88"/>
  <c r="X21" i="88" s="1"/>
  <c r="Z21" i="88" s="1"/>
  <c r="N21" i="88"/>
  <c r="H21" i="88"/>
  <c r="L21" i="88" s="1"/>
  <c r="D21" i="88"/>
  <c r="B21" i="88"/>
  <c r="X20" i="88"/>
  <c r="Z20" i="88" s="1"/>
  <c r="R20" i="88"/>
  <c r="N20" i="88"/>
  <c r="L20" i="88"/>
  <c r="F20" i="88"/>
  <c r="B20" i="88"/>
  <c r="T19" i="88"/>
  <c r="X19" i="88" s="1"/>
  <c r="Z19" i="88" s="1"/>
  <c r="P19" i="88"/>
  <c r="L19" i="88"/>
  <c r="N19" i="88" s="1"/>
  <c r="H19" i="88"/>
  <c r="D19" i="88"/>
  <c r="B19" i="88"/>
  <c r="X18" i="88"/>
  <c r="V18" i="88"/>
  <c r="T18" i="88"/>
  <c r="R18" i="88"/>
  <c r="P18" i="88"/>
  <c r="H18" i="88"/>
  <c r="F18" i="88"/>
  <c r="D18" i="88"/>
  <c r="P16" i="88"/>
  <c r="V14" i="88"/>
  <c r="T14" i="88"/>
  <c r="R14" i="88"/>
  <c r="P14" i="88"/>
  <c r="H14" i="88"/>
  <c r="N14" i="88" s="1"/>
  <c r="F14" i="88"/>
  <c r="D14" i="88"/>
  <c r="T12" i="88"/>
  <c r="V20" i="88" s="1"/>
  <c r="P12" i="88"/>
  <c r="R37" i="88" s="1"/>
  <c r="H12" i="88"/>
  <c r="D12" i="88"/>
  <c r="D6" i="88"/>
  <c r="D4" i="88"/>
  <c r="Z34" i="87"/>
  <c r="X34" i="87"/>
  <c r="R34" i="87"/>
  <c r="N34" i="87"/>
  <c r="L34" i="87"/>
  <c r="F34" i="87"/>
  <c r="D32" i="87"/>
  <c r="Z30" i="87"/>
  <c r="X30" i="87"/>
  <c r="T30" i="87"/>
  <c r="P30" i="87"/>
  <c r="L30" i="87"/>
  <c r="H30" i="87"/>
  <c r="D30" i="87"/>
  <c r="B30" i="87"/>
  <c r="V29" i="87"/>
  <c r="T29" i="87"/>
  <c r="Z29" i="87" s="1"/>
  <c r="R29" i="87"/>
  <c r="P29" i="87"/>
  <c r="X29" i="87" s="1"/>
  <c r="F29" i="87"/>
  <c r="D29" i="87"/>
  <c r="Z27" i="87"/>
  <c r="X27" i="87"/>
  <c r="L27" i="87"/>
  <c r="N27" i="87" s="1"/>
  <c r="F27" i="87"/>
  <c r="B27" i="87"/>
  <c r="T26" i="87"/>
  <c r="P26" i="87"/>
  <c r="X26" i="87" s="1"/>
  <c r="Z26" i="87" s="1"/>
  <c r="L26" i="87"/>
  <c r="N26" i="87" s="1"/>
  <c r="H26" i="87"/>
  <c r="F26" i="87"/>
  <c r="D26" i="87"/>
  <c r="B26" i="87"/>
  <c r="X25" i="87"/>
  <c r="Z25" i="87" s="1"/>
  <c r="N25" i="87"/>
  <c r="L25" i="87"/>
  <c r="B25" i="87"/>
  <c r="X24" i="87"/>
  <c r="Z24" i="87" s="1"/>
  <c r="T24" i="87"/>
  <c r="P24" i="87"/>
  <c r="J24" i="87"/>
  <c r="H24" i="87"/>
  <c r="D24" i="87"/>
  <c r="B24" i="87"/>
  <c r="Z23" i="87"/>
  <c r="X23" i="87"/>
  <c r="R23" i="87"/>
  <c r="N23" i="87"/>
  <c r="L23" i="87"/>
  <c r="F23" i="87"/>
  <c r="B23" i="87"/>
  <c r="X22" i="87"/>
  <c r="T22" i="87"/>
  <c r="Z22" i="87" s="1"/>
  <c r="P22" i="87"/>
  <c r="H22" i="87"/>
  <c r="N22" i="87" s="1"/>
  <c r="F22" i="87"/>
  <c r="D22" i="87"/>
  <c r="B22" i="87"/>
  <c r="X21" i="87"/>
  <c r="Z21" i="87" s="1"/>
  <c r="N21" i="87"/>
  <c r="L21" i="87"/>
  <c r="J21" i="87"/>
  <c r="F21" i="87"/>
  <c r="B21" i="87"/>
  <c r="Z20" i="87"/>
  <c r="X20" i="87"/>
  <c r="R20" i="87"/>
  <c r="N20" i="87"/>
  <c r="L20" i="87"/>
  <c r="F20" i="87"/>
  <c r="B20" i="87"/>
  <c r="T19" i="87"/>
  <c r="P19" i="87"/>
  <c r="N19" i="87"/>
  <c r="L19" i="87"/>
  <c r="H19" i="87"/>
  <c r="F19" i="87"/>
  <c r="D19" i="87"/>
  <c r="B19" i="87"/>
  <c r="T18" i="87"/>
  <c r="P18" i="87"/>
  <c r="X18" i="87" s="1"/>
  <c r="Z18" i="87" s="1"/>
  <c r="N18" i="87"/>
  <c r="H18" i="87"/>
  <c r="L18" i="87" s="1"/>
  <c r="F18" i="87"/>
  <c r="D18" i="87"/>
  <c r="P16" i="87"/>
  <c r="F16" i="87"/>
  <c r="D16" i="87"/>
  <c r="Z14" i="87"/>
  <c r="X14" i="87"/>
  <c r="V14" i="87"/>
  <c r="T14" i="87"/>
  <c r="P14" i="87"/>
  <c r="N14" i="87"/>
  <c r="L14" i="87"/>
  <c r="H14" i="87"/>
  <c r="F14" i="87"/>
  <c r="D14" i="87"/>
  <c r="X12" i="87"/>
  <c r="T12" i="87"/>
  <c r="T16" i="87" s="1"/>
  <c r="P12" i="87"/>
  <c r="R32" i="87" s="1"/>
  <c r="H12" i="87"/>
  <c r="J30" i="87" s="1"/>
  <c r="D12" i="87"/>
  <c r="F36" i="87" s="1"/>
  <c r="D6" i="87"/>
  <c r="D4" i="87"/>
  <c r="Z64" i="86"/>
  <c r="X64" i="86"/>
  <c r="R64" i="86"/>
  <c r="N64" i="86"/>
  <c r="L64" i="86"/>
  <c r="R62" i="86"/>
  <c r="T60" i="86"/>
  <c r="P60" i="86"/>
  <c r="N60" i="86"/>
  <c r="H60" i="86"/>
  <c r="D60" i="86"/>
  <c r="L60" i="86" s="1"/>
  <c r="B60" i="86"/>
  <c r="T59" i="86"/>
  <c r="N59" i="86"/>
  <c r="H59" i="86"/>
  <c r="D59" i="86"/>
  <c r="L59" i="86" s="1"/>
  <c r="Z57" i="86"/>
  <c r="X57" i="86"/>
  <c r="N57" i="86"/>
  <c r="L57" i="86"/>
  <c r="B57" i="86"/>
  <c r="X56" i="86"/>
  <c r="T56" i="86"/>
  <c r="P56" i="86"/>
  <c r="H56" i="86"/>
  <c r="N56" i="86" s="1"/>
  <c r="D56" i="86"/>
  <c r="L56" i="86" s="1"/>
  <c r="B56" i="86"/>
  <c r="Z55" i="86"/>
  <c r="X55" i="86"/>
  <c r="N55" i="86"/>
  <c r="L55" i="86"/>
  <c r="B55" i="86"/>
  <c r="Z54" i="86"/>
  <c r="X54" i="86"/>
  <c r="N54" i="86"/>
  <c r="L54" i="86"/>
  <c r="B54" i="86"/>
  <c r="Z53" i="86"/>
  <c r="X53" i="86"/>
  <c r="N53" i="86"/>
  <c r="L53" i="86"/>
  <c r="F53" i="86"/>
  <c r="B53" i="86"/>
  <c r="T52" i="86"/>
  <c r="Z52" i="86" s="1"/>
  <c r="P52" i="86"/>
  <c r="X52" i="86" s="1"/>
  <c r="H52" i="86"/>
  <c r="N52" i="86" s="1"/>
  <c r="F52" i="86"/>
  <c r="D52" i="86"/>
  <c r="B52" i="86"/>
  <c r="Z51" i="86"/>
  <c r="X51" i="86"/>
  <c r="N51" i="86"/>
  <c r="L51" i="86"/>
  <c r="J51" i="86"/>
  <c r="F51" i="86"/>
  <c r="B51" i="86"/>
  <c r="T50" i="86"/>
  <c r="Z50" i="86" s="1"/>
  <c r="P50" i="86"/>
  <c r="N50" i="86"/>
  <c r="L50" i="86"/>
  <c r="J50" i="86"/>
  <c r="H50" i="86"/>
  <c r="D50" i="86"/>
  <c r="B50" i="86"/>
  <c r="Z49" i="86"/>
  <c r="X49" i="86"/>
  <c r="R49" i="86"/>
  <c r="N49" i="86"/>
  <c r="L49" i="86"/>
  <c r="B49" i="86"/>
  <c r="Z48" i="86"/>
  <c r="X48" i="86"/>
  <c r="T48" i="86"/>
  <c r="P48" i="86"/>
  <c r="N48" i="86"/>
  <c r="L48" i="86"/>
  <c r="H48" i="86"/>
  <c r="D48" i="86"/>
  <c r="B48" i="86"/>
  <c r="Z47" i="86"/>
  <c r="X47" i="86"/>
  <c r="N47" i="86"/>
  <c r="L47" i="86"/>
  <c r="B47" i="86"/>
  <c r="Z46" i="86"/>
  <c r="X46" i="86"/>
  <c r="R46" i="86"/>
  <c r="N46" i="86"/>
  <c r="L46" i="86"/>
  <c r="B46" i="86"/>
  <c r="Z45" i="86"/>
  <c r="T45" i="86"/>
  <c r="X45" i="86" s="1"/>
  <c r="P45" i="86"/>
  <c r="J45" i="86"/>
  <c r="H45" i="86"/>
  <c r="D45" i="86"/>
  <c r="L45" i="86" s="1"/>
  <c r="B45" i="86"/>
  <c r="X44" i="86"/>
  <c r="Z44" i="86" s="1"/>
  <c r="R44" i="86"/>
  <c r="N44" i="86"/>
  <c r="L44" i="86"/>
  <c r="B44" i="86"/>
  <c r="T43" i="86"/>
  <c r="R43" i="86"/>
  <c r="P43" i="86"/>
  <c r="X43" i="86" s="1"/>
  <c r="Z43" i="86" s="1"/>
  <c r="H43" i="86"/>
  <c r="N43" i="86" s="1"/>
  <c r="D43" i="86"/>
  <c r="B43" i="86"/>
  <c r="Z42" i="86"/>
  <c r="X42" i="86"/>
  <c r="R42" i="86"/>
  <c r="N42" i="86"/>
  <c r="L42" i="86"/>
  <c r="B42" i="86"/>
  <c r="T41" i="86"/>
  <c r="R41" i="86"/>
  <c r="P41" i="86"/>
  <c r="N41" i="86"/>
  <c r="L41" i="86"/>
  <c r="H41" i="86"/>
  <c r="D41" i="86"/>
  <c r="B41" i="86"/>
  <c r="Z40" i="86"/>
  <c r="X40" i="86"/>
  <c r="L40" i="86"/>
  <c r="N40" i="86" s="1"/>
  <c r="B40" i="86"/>
  <c r="X39" i="86"/>
  <c r="Z39" i="86" s="1"/>
  <c r="L39" i="86"/>
  <c r="N39" i="86" s="1"/>
  <c r="J39" i="86"/>
  <c r="B39" i="86"/>
  <c r="T38" i="86"/>
  <c r="R38" i="86"/>
  <c r="P38" i="86"/>
  <c r="H38" i="86"/>
  <c r="D38" i="86"/>
  <c r="L38" i="86" s="1"/>
  <c r="N38" i="86" s="1"/>
  <c r="B38" i="86"/>
  <c r="Z37" i="86"/>
  <c r="X37" i="86"/>
  <c r="R37" i="86"/>
  <c r="N37" i="86"/>
  <c r="L37" i="86"/>
  <c r="J37" i="86"/>
  <c r="F37" i="86"/>
  <c r="B37" i="86"/>
  <c r="Z36" i="86"/>
  <c r="X36" i="86"/>
  <c r="T36" i="86"/>
  <c r="P36" i="86"/>
  <c r="N36" i="86"/>
  <c r="L36" i="86"/>
  <c r="J36" i="86"/>
  <c r="H36" i="86"/>
  <c r="F36" i="86"/>
  <c r="D36" i="86"/>
  <c r="B36" i="86"/>
  <c r="Z35" i="86"/>
  <c r="X35" i="86"/>
  <c r="R35" i="86"/>
  <c r="N35" i="86"/>
  <c r="L35" i="86"/>
  <c r="J35" i="86"/>
  <c r="B35" i="86"/>
  <c r="Z34" i="86"/>
  <c r="X34" i="86"/>
  <c r="T34" i="86"/>
  <c r="R34" i="86"/>
  <c r="P34" i="86"/>
  <c r="J34" i="86"/>
  <c r="H34" i="86"/>
  <c r="F34" i="86"/>
  <c r="D34" i="86"/>
  <c r="B34" i="86"/>
  <c r="Z33" i="86"/>
  <c r="X33" i="86"/>
  <c r="R33" i="86"/>
  <c r="N33" i="86"/>
  <c r="L33" i="86"/>
  <c r="F33" i="86"/>
  <c r="B33" i="86"/>
  <c r="Z32" i="86"/>
  <c r="X32" i="86"/>
  <c r="R32" i="86"/>
  <c r="N32" i="86"/>
  <c r="L32" i="86"/>
  <c r="J32" i="86"/>
  <c r="F32" i="86"/>
  <c r="B32" i="86"/>
  <c r="Z31" i="86"/>
  <c r="X31" i="86"/>
  <c r="R31" i="86"/>
  <c r="N31" i="86"/>
  <c r="L31" i="86"/>
  <c r="J31" i="86"/>
  <c r="B31" i="86"/>
  <c r="X30" i="86"/>
  <c r="Z30" i="86" s="1"/>
  <c r="N30" i="86"/>
  <c r="L30" i="86"/>
  <c r="B30" i="86"/>
  <c r="Z29" i="86"/>
  <c r="X29" i="86"/>
  <c r="T29" i="86"/>
  <c r="R29" i="86"/>
  <c r="P29" i="86"/>
  <c r="J29" i="86"/>
  <c r="H29" i="86"/>
  <c r="D29" i="86"/>
  <c r="B29" i="86"/>
  <c r="Z28" i="86"/>
  <c r="X28" i="86"/>
  <c r="R28" i="86"/>
  <c r="N28" i="86"/>
  <c r="L28" i="86"/>
  <c r="J28" i="86"/>
  <c r="F28" i="86"/>
  <c r="B28" i="86"/>
  <c r="X27" i="86"/>
  <c r="Z27" i="86" s="1"/>
  <c r="R27" i="86"/>
  <c r="N27" i="86"/>
  <c r="L27" i="86"/>
  <c r="J27" i="86"/>
  <c r="B27" i="86"/>
  <c r="X26" i="86"/>
  <c r="Z26" i="86" s="1"/>
  <c r="N26" i="86"/>
  <c r="L26" i="86"/>
  <c r="B26" i="86"/>
  <c r="Z25" i="86"/>
  <c r="X25" i="86"/>
  <c r="R25" i="86"/>
  <c r="N25" i="86"/>
  <c r="L25" i="86"/>
  <c r="F25" i="86"/>
  <c r="B25" i="86"/>
  <c r="Z24" i="86"/>
  <c r="X24" i="86"/>
  <c r="R24" i="86"/>
  <c r="N24" i="86"/>
  <c r="L24" i="86"/>
  <c r="J24" i="86"/>
  <c r="F24" i="86"/>
  <c r="B24" i="86"/>
  <c r="X23" i="86"/>
  <c r="Z23" i="86" s="1"/>
  <c r="N23" i="86"/>
  <c r="L23" i="86"/>
  <c r="J23" i="86"/>
  <c r="F23" i="86"/>
  <c r="B23" i="86"/>
  <c r="Z22" i="86"/>
  <c r="X22" i="86"/>
  <c r="N22" i="86"/>
  <c r="L22" i="86"/>
  <c r="J22" i="86"/>
  <c r="B22" i="86"/>
  <c r="Z21" i="86"/>
  <c r="X21" i="86"/>
  <c r="R21" i="86"/>
  <c r="N21" i="86"/>
  <c r="L21" i="86"/>
  <c r="F21" i="86"/>
  <c r="B21" i="86"/>
  <c r="T20" i="86"/>
  <c r="R20" i="86"/>
  <c r="P20" i="86"/>
  <c r="N20" i="86"/>
  <c r="H20" i="86"/>
  <c r="F20" i="86"/>
  <c r="D20" i="86"/>
  <c r="L20" i="86" s="1"/>
  <c r="B20" i="86"/>
  <c r="T19" i="86"/>
  <c r="Z19" i="86" s="1"/>
  <c r="R19" i="86"/>
  <c r="P19" i="86"/>
  <c r="X19" i="86" s="1"/>
  <c r="N19" i="86"/>
  <c r="L19" i="86"/>
  <c r="H19" i="86"/>
  <c r="F19" i="86"/>
  <c r="D19" i="86"/>
  <c r="H17" i="86"/>
  <c r="H62" i="86" s="1"/>
  <c r="F17" i="86"/>
  <c r="D17" i="86"/>
  <c r="Z15" i="86"/>
  <c r="X15" i="86"/>
  <c r="R15" i="86"/>
  <c r="N15" i="86"/>
  <c r="L15" i="86"/>
  <c r="J15" i="86"/>
  <c r="F15" i="86"/>
  <c r="B15" i="86"/>
  <c r="Z14" i="86"/>
  <c r="T14" i="86"/>
  <c r="R14" i="86"/>
  <c r="P14" i="86"/>
  <c r="N14" i="86"/>
  <c r="J14" i="86"/>
  <c r="H14" i="86"/>
  <c r="D14" i="86"/>
  <c r="L14" i="86" s="1"/>
  <c r="T12" i="86"/>
  <c r="P12" i="86"/>
  <c r="R69" i="86" s="1"/>
  <c r="N12" i="86"/>
  <c r="L12" i="86"/>
  <c r="H12" i="86"/>
  <c r="J57" i="86" s="1"/>
  <c r="D12" i="86"/>
  <c r="F57" i="86" s="1"/>
  <c r="D6" i="86"/>
  <c r="D4" i="86"/>
  <c r="Z81" i="85"/>
  <c r="X81" i="85"/>
  <c r="N81" i="85"/>
  <c r="L81" i="85"/>
  <c r="T77" i="85"/>
  <c r="P77" i="85"/>
  <c r="N77" i="85"/>
  <c r="H77" i="85"/>
  <c r="D77" i="85"/>
  <c r="B77" i="85"/>
  <c r="P76" i="85"/>
  <c r="N76" i="85"/>
  <c r="H76" i="85"/>
  <c r="X74" i="85"/>
  <c r="Z74" i="85" s="1"/>
  <c r="L74" i="85"/>
  <c r="N74" i="85" s="1"/>
  <c r="B74" i="85"/>
  <c r="X73" i="85"/>
  <c r="Z73" i="85" s="1"/>
  <c r="V73" i="85"/>
  <c r="T73" i="85"/>
  <c r="P73" i="85"/>
  <c r="H73" i="85"/>
  <c r="D73" i="85"/>
  <c r="B73" i="85"/>
  <c r="Z72" i="85"/>
  <c r="X72" i="85"/>
  <c r="N72" i="85"/>
  <c r="L72" i="85"/>
  <c r="B72" i="85"/>
  <c r="T71" i="85"/>
  <c r="P71" i="85"/>
  <c r="H71" i="85"/>
  <c r="D71" i="85"/>
  <c r="L71" i="85" s="1"/>
  <c r="N71" i="85" s="1"/>
  <c r="B71" i="85"/>
  <c r="Z70" i="85"/>
  <c r="X70" i="85"/>
  <c r="N70" i="85"/>
  <c r="L70" i="85"/>
  <c r="B70" i="85"/>
  <c r="Z69" i="85"/>
  <c r="X69" i="85"/>
  <c r="L69" i="85"/>
  <c r="N69" i="85" s="1"/>
  <c r="B69" i="85"/>
  <c r="Z68" i="85"/>
  <c r="X68" i="85"/>
  <c r="N68" i="85"/>
  <c r="L68" i="85"/>
  <c r="B68" i="85"/>
  <c r="Z67" i="85"/>
  <c r="X67" i="85"/>
  <c r="N67" i="85"/>
  <c r="L67" i="85"/>
  <c r="B67" i="85"/>
  <c r="X66" i="85"/>
  <c r="Z66" i="85" s="1"/>
  <c r="N66" i="85"/>
  <c r="L66" i="85"/>
  <c r="B66" i="85"/>
  <c r="X65" i="85"/>
  <c r="Z65" i="85" s="1"/>
  <c r="V65" i="85"/>
  <c r="N65" i="85"/>
  <c r="L65" i="85"/>
  <c r="B65" i="85"/>
  <c r="Z64" i="85"/>
  <c r="X64" i="85"/>
  <c r="T64" i="85"/>
  <c r="P64" i="85"/>
  <c r="H64" i="85"/>
  <c r="D64" i="85"/>
  <c r="B64" i="85"/>
  <c r="X63" i="85"/>
  <c r="Z63" i="85" s="1"/>
  <c r="N63" i="85"/>
  <c r="L63" i="85"/>
  <c r="B63" i="85"/>
  <c r="V62" i="85"/>
  <c r="T62" i="85"/>
  <c r="P62" i="85"/>
  <c r="X62" i="85" s="1"/>
  <c r="H62" i="85"/>
  <c r="D62" i="85"/>
  <c r="L62" i="85" s="1"/>
  <c r="B62" i="85"/>
  <c r="Z61" i="85"/>
  <c r="X61" i="85"/>
  <c r="L61" i="85"/>
  <c r="N61" i="85" s="1"/>
  <c r="B61" i="85"/>
  <c r="Z60" i="85"/>
  <c r="X60" i="85"/>
  <c r="L60" i="85"/>
  <c r="N60" i="85" s="1"/>
  <c r="B60" i="85"/>
  <c r="Z59" i="85"/>
  <c r="X59" i="85"/>
  <c r="N59" i="85"/>
  <c r="L59" i="85"/>
  <c r="B59" i="85"/>
  <c r="X58" i="85"/>
  <c r="Z58" i="85" s="1"/>
  <c r="V58" i="85"/>
  <c r="L58" i="85"/>
  <c r="N58" i="85" s="1"/>
  <c r="B58" i="85"/>
  <c r="X57" i="85"/>
  <c r="Z57" i="85" s="1"/>
  <c r="T57" i="85"/>
  <c r="P57" i="85"/>
  <c r="H57" i="85"/>
  <c r="D57" i="85"/>
  <c r="B57" i="85"/>
  <c r="Z56" i="85"/>
  <c r="X56" i="85"/>
  <c r="L56" i="85"/>
  <c r="N56" i="85" s="1"/>
  <c r="B56" i="85"/>
  <c r="Z55" i="85"/>
  <c r="X55" i="85"/>
  <c r="N55" i="85"/>
  <c r="L55" i="85"/>
  <c r="B55" i="85"/>
  <c r="V54" i="85"/>
  <c r="T54" i="85"/>
  <c r="P54" i="85"/>
  <c r="H54" i="85"/>
  <c r="N54" i="85" s="1"/>
  <c r="D54" i="85"/>
  <c r="L54" i="85" s="1"/>
  <c r="B54" i="85"/>
  <c r="Z53" i="85"/>
  <c r="X53" i="85"/>
  <c r="L53" i="85"/>
  <c r="N53" i="85" s="1"/>
  <c r="B53" i="85"/>
  <c r="T52" i="85"/>
  <c r="P52" i="85"/>
  <c r="X52" i="85" s="1"/>
  <c r="L52" i="85"/>
  <c r="H52" i="85"/>
  <c r="N52" i="85" s="1"/>
  <c r="D52" i="85"/>
  <c r="B52" i="85"/>
  <c r="Z51" i="85"/>
  <c r="X51" i="85"/>
  <c r="N51" i="85"/>
  <c r="L51" i="85"/>
  <c r="B51" i="85"/>
  <c r="X50" i="85"/>
  <c r="T50" i="85"/>
  <c r="Z50" i="85" s="1"/>
  <c r="P50" i="85"/>
  <c r="N50" i="85"/>
  <c r="L50" i="85"/>
  <c r="H50" i="85"/>
  <c r="D50" i="85"/>
  <c r="B50" i="85"/>
  <c r="X49" i="85"/>
  <c r="Z49" i="85" s="1"/>
  <c r="N49" i="85"/>
  <c r="L49" i="85"/>
  <c r="B49" i="85"/>
  <c r="Z48" i="85"/>
  <c r="X48" i="85"/>
  <c r="T48" i="85"/>
  <c r="P48" i="85"/>
  <c r="H48" i="85"/>
  <c r="D48" i="85"/>
  <c r="B48" i="85"/>
  <c r="Z47" i="85"/>
  <c r="X47" i="85"/>
  <c r="N47" i="85"/>
  <c r="L47" i="85"/>
  <c r="B47" i="85"/>
  <c r="T46" i="85"/>
  <c r="P46" i="85"/>
  <c r="X46" i="85" s="1"/>
  <c r="H46" i="85"/>
  <c r="N46" i="85" s="1"/>
  <c r="D46" i="85"/>
  <c r="L46" i="85" s="1"/>
  <c r="B46" i="85"/>
  <c r="Z45" i="85"/>
  <c r="X45" i="85"/>
  <c r="L45" i="85"/>
  <c r="N45" i="85" s="1"/>
  <c r="B45" i="85"/>
  <c r="Z44" i="85"/>
  <c r="X44" i="85"/>
  <c r="L44" i="85"/>
  <c r="N44" i="85" s="1"/>
  <c r="B44" i="85"/>
  <c r="T43" i="85"/>
  <c r="P43" i="85"/>
  <c r="X43" i="85" s="1"/>
  <c r="H43" i="85"/>
  <c r="D43" i="85"/>
  <c r="L43" i="85" s="1"/>
  <c r="N43" i="85" s="1"/>
  <c r="B43" i="85"/>
  <c r="X42" i="85"/>
  <c r="Z42" i="85" s="1"/>
  <c r="L42" i="85"/>
  <c r="N42" i="85" s="1"/>
  <c r="B42" i="85"/>
  <c r="T41" i="85"/>
  <c r="P41" i="85"/>
  <c r="X41" i="85" s="1"/>
  <c r="Z41" i="85" s="1"/>
  <c r="H41" i="85"/>
  <c r="L41" i="85" s="1"/>
  <c r="N41" i="85" s="1"/>
  <c r="D41" i="85"/>
  <c r="B41" i="85"/>
  <c r="Z40" i="85"/>
  <c r="X40" i="85"/>
  <c r="N40" i="85"/>
  <c r="L40" i="85"/>
  <c r="B40" i="85"/>
  <c r="Z39" i="85"/>
  <c r="T39" i="85"/>
  <c r="X39" i="85" s="1"/>
  <c r="P39" i="85"/>
  <c r="L39" i="85"/>
  <c r="N39" i="85" s="1"/>
  <c r="H39" i="85"/>
  <c r="D39" i="85"/>
  <c r="B39" i="85"/>
  <c r="X38" i="85"/>
  <c r="Z38" i="85" s="1"/>
  <c r="L38" i="85"/>
  <c r="N38" i="85" s="1"/>
  <c r="B38" i="85"/>
  <c r="X37" i="85"/>
  <c r="Z37" i="85" s="1"/>
  <c r="V37" i="85"/>
  <c r="T37" i="85"/>
  <c r="P37" i="85"/>
  <c r="H37" i="85"/>
  <c r="D37" i="85"/>
  <c r="L37" i="85" s="1"/>
  <c r="B37" i="85"/>
  <c r="Z36" i="85"/>
  <c r="X36" i="85"/>
  <c r="L36" i="85"/>
  <c r="N36" i="85" s="1"/>
  <c r="B36" i="85"/>
  <c r="X35" i="85"/>
  <c r="Z35" i="85" s="1"/>
  <c r="N35" i="85"/>
  <c r="L35" i="85"/>
  <c r="B35" i="85"/>
  <c r="X34" i="85"/>
  <c r="Z34" i="85" s="1"/>
  <c r="L34" i="85"/>
  <c r="N34" i="85" s="1"/>
  <c r="B34" i="85"/>
  <c r="X33" i="85"/>
  <c r="Z33" i="85" s="1"/>
  <c r="V33" i="85"/>
  <c r="N33" i="85"/>
  <c r="L33" i="85"/>
  <c r="B33" i="85"/>
  <c r="T32" i="85"/>
  <c r="P32" i="85"/>
  <c r="L32" i="85"/>
  <c r="J32" i="85"/>
  <c r="H32" i="85"/>
  <c r="D32" i="85"/>
  <c r="B32" i="85"/>
  <c r="Z31" i="85"/>
  <c r="X31" i="85"/>
  <c r="N31" i="85"/>
  <c r="L31" i="85"/>
  <c r="B31" i="85"/>
  <c r="X30" i="85"/>
  <c r="Z30" i="85" s="1"/>
  <c r="L30" i="85"/>
  <c r="N30" i="85" s="1"/>
  <c r="B30" i="85"/>
  <c r="Z29" i="85"/>
  <c r="X29" i="85"/>
  <c r="L29" i="85"/>
  <c r="N29" i="85" s="1"/>
  <c r="B29" i="85"/>
  <c r="X28" i="85"/>
  <c r="Z28" i="85" s="1"/>
  <c r="N28" i="85"/>
  <c r="L28" i="85"/>
  <c r="B28" i="85"/>
  <c r="Z27" i="85"/>
  <c r="X27" i="85"/>
  <c r="N27" i="85"/>
  <c r="L27" i="85"/>
  <c r="B27" i="85"/>
  <c r="X26" i="85"/>
  <c r="Z26" i="85" s="1"/>
  <c r="L26" i="85"/>
  <c r="N26" i="85" s="1"/>
  <c r="B26" i="85"/>
  <c r="Z25" i="85"/>
  <c r="X25" i="85"/>
  <c r="L25" i="85"/>
  <c r="N25" i="85" s="1"/>
  <c r="B25" i="85"/>
  <c r="Z24" i="85"/>
  <c r="X24" i="85"/>
  <c r="N24" i="85"/>
  <c r="L24" i="85"/>
  <c r="B24" i="85"/>
  <c r="T23" i="85"/>
  <c r="P23" i="85"/>
  <c r="X23" i="85" s="1"/>
  <c r="N23" i="85"/>
  <c r="L23" i="85"/>
  <c r="H23" i="85"/>
  <c r="D23" i="85"/>
  <c r="B23" i="85"/>
  <c r="V22" i="85"/>
  <c r="T22" i="85"/>
  <c r="P22" i="85"/>
  <c r="X22" i="85" s="1"/>
  <c r="H22" i="85"/>
  <c r="L22" i="85" s="1"/>
  <c r="N22" i="85" s="1"/>
  <c r="D22" i="85"/>
  <c r="X18" i="85"/>
  <c r="Z18" i="85" s="1"/>
  <c r="V18" i="85"/>
  <c r="L18" i="85"/>
  <c r="N18" i="85" s="1"/>
  <c r="J18" i="85"/>
  <c r="B18" i="85"/>
  <c r="Z17" i="85"/>
  <c r="X17" i="85"/>
  <c r="N17" i="85"/>
  <c r="L17" i="85"/>
  <c r="B17" i="85"/>
  <c r="T16" i="85"/>
  <c r="P16" i="85"/>
  <c r="L16" i="85"/>
  <c r="J16" i="85"/>
  <c r="H16" i="85"/>
  <c r="D16" i="85"/>
  <c r="X14" i="85"/>
  <c r="Z14" i="85" s="1"/>
  <c r="T14" i="85"/>
  <c r="P14" i="85"/>
  <c r="N14" i="85"/>
  <c r="H14" i="85"/>
  <c r="D14" i="85"/>
  <c r="L14" i="85" s="1"/>
  <c r="B14" i="85"/>
  <c r="T13" i="85"/>
  <c r="P13" i="85"/>
  <c r="H13" i="85"/>
  <c r="D13" i="85"/>
  <c r="B13" i="85"/>
  <c r="T12" i="85"/>
  <c r="V46" i="85" s="1"/>
  <c r="H12" i="85"/>
  <c r="D6" i="85"/>
  <c r="D4" i="85"/>
  <c r="Z36" i="84"/>
  <c r="X36" i="84"/>
  <c r="N36" i="84"/>
  <c r="L36" i="84"/>
  <c r="R34" i="84"/>
  <c r="Z32" i="84"/>
  <c r="X32" i="84"/>
  <c r="T32" i="84"/>
  <c r="R32" i="84"/>
  <c r="P32" i="84"/>
  <c r="L32" i="84"/>
  <c r="H32" i="84"/>
  <c r="N32" i="84" s="1"/>
  <c r="D32" i="84"/>
  <c r="Z30" i="84"/>
  <c r="X30" i="84"/>
  <c r="R30" i="84"/>
  <c r="N30" i="84"/>
  <c r="L30" i="84"/>
  <c r="B30" i="84"/>
  <c r="Z29" i="84"/>
  <c r="X29" i="84"/>
  <c r="N29" i="84"/>
  <c r="L29" i="84"/>
  <c r="B29" i="84"/>
  <c r="T28" i="84"/>
  <c r="P28" i="84"/>
  <c r="X28" i="84" s="1"/>
  <c r="H28" i="84"/>
  <c r="D28" i="84"/>
  <c r="B28" i="84"/>
  <c r="X27" i="84"/>
  <c r="Z27" i="84" s="1"/>
  <c r="N27" i="84"/>
  <c r="L27" i="84"/>
  <c r="B27" i="84"/>
  <c r="T26" i="84"/>
  <c r="P26" i="84"/>
  <c r="X26" i="84" s="1"/>
  <c r="L26" i="84"/>
  <c r="H26" i="84"/>
  <c r="N26" i="84" s="1"/>
  <c r="D26" i="84"/>
  <c r="B26" i="84"/>
  <c r="Z25" i="84"/>
  <c r="X25" i="84"/>
  <c r="R25" i="84"/>
  <c r="N25" i="84"/>
  <c r="L25" i="84"/>
  <c r="B25" i="84"/>
  <c r="T24" i="84"/>
  <c r="Z24" i="84" s="1"/>
  <c r="P24" i="84"/>
  <c r="X24" i="84" s="1"/>
  <c r="N24" i="84"/>
  <c r="L24" i="84"/>
  <c r="H24" i="84"/>
  <c r="F24" i="84"/>
  <c r="D24" i="84"/>
  <c r="B24" i="84"/>
  <c r="Z23" i="84"/>
  <c r="X23" i="84"/>
  <c r="N23" i="84"/>
  <c r="L23" i="84"/>
  <c r="B23" i="84"/>
  <c r="T22" i="84"/>
  <c r="P22" i="84"/>
  <c r="H22" i="84"/>
  <c r="D22" i="84"/>
  <c r="B22" i="84"/>
  <c r="Z21" i="84"/>
  <c r="X21" i="84"/>
  <c r="N21" i="84"/>
  <c r="L21" i="84"/>
  <c r="F21" i="84"/>
  <c r="B21" i="84"/>
  <c r="T20" i="84"/>
  <c r="P20" i="84"/>
  <c r="X20" i="84" s="1"/>
  <c r="N20" i="84"/>
  <c r="H20" i="84"/>
  <c r="F20" i="84"/>
  <c r="D20" i="84"/>
  <c r="L20" i="84" s="1"/>
  <c r="B20" i="84"/>
  <c r="Z19" i="84"/>
  <c r="X19" i="84"/>
  <c r="T19" i="84"/>
  <c r="P19" i="84"/>
  <c r="N19" i="84"/>
  <c r="J19" i="84"/>
  <c r="H19" i="84"/>
  <c r="D19" i="84"/>
  <c r="L19" i="84" s="1"/>
  <c r="P17" i="84"/>
  <c r="J17" i="84"/>
  <c r="F17" i="84"/>
  <c r="Z15" i="84"/>
  <c r="T15" i="84"/>
  <c r="P15" i="84"/>
  <c r="X15" i="84" s="1"/>
  <c r="N15" i="84"/>
  <c r="H15" i="84"/>
  <c r="F15" i="84"/>
  <c r="D15" i="84"/>
  <c r="T13" i="84"/>
  <c r="P13" i="84"/>
  <c r="L13" i="84"/>
  <c r="H13" i="84"/>
  <c r="N13" i="84" s="1"/>
  <c r="D13" i="84"/>
  <c r="B13" i="84"/>
  <c r="P12" i="84"/>
  <c r="L12" i="84"/>
  <c r="H12" i="84"/>
  <c r="J38" i="84" s="1"/>
  <c r="D12" i="84"/>
  <c r="D6" i="84"/>
  <c r="D4" i="84"/>
  <c r="V45" i="83"/>
  <c r="J42" i="83"/>
  <c r="Z40" i="83"/>
  <c r="X40" i="83"/>
  <c r="R40" i="83"/>
  <c r="N40" i="83"/>
  <c r="L40" i="83"/>
  <c r="R38" i="83"/>
  <c r="Z36" i="83"/>
  <c r="T36" i="83"/>
  <c r="P36" i="83"/>
  <c r="X36" i="83" s="1"/>
  <c r="N36" i="83"/>
  <c r="L36" i="83"/>
  <c r="J36" i="83"/>
  <c r="H36" i="83"/>
  <c r="D36" i="83"/>
  <c r="X34" i="83"/>
  <c r="Z34" i="83" s="1"/>
  <c r="R34" i="83"/>
  <c r="N34" i="83"/>
  <c r="L34" i="83"/>
  <c r="B34" i="83"/>
  <c r="V33" i="83"/>
  <c r="T33" i="83"/>
  <c r="P33" i="83"/>
  <c r="H33" i="83"/>
  <c r="N33" i="83" s="1"/>
  <c r="D33" i="83"/>
  <c r="L33" i="83" s="1"/>
  <c r="B33" i="83"/>
  <c r="Z32" i="83"/>
  <c r="X32" i="83"/>
  <c r="N32" i="83"/>
  <c r="L32" i="83"/>
  <c r="J32" i="83"/>
  <c r="B32" i="83"/>
  <c r="T31" i="83"/>
  <c r="Z31" i="83" s="1"/>
  <c r="R31" i="83"/>
  <c r="P31" i="83"/>
  <c r="X31" i="83" s="1"/>
  <c r="N31" i="83"/>
  <c r="L31" i="83"/>
  <c r="H31" i="83"/>
  <c r="D31" i="83"/>
  <c r="B31" i="83"/>
  <c r="Z30" i="83"/>
  <c r="X30" i="83"/>
  <c r="L30" i="83"/>
  <c r="N30" i="83" s="1"/>
  <c r="B30" i="83"/>
  <c r="X29" i="83"/>
  <c r="Z29" i="83" s="1"/>
  <c r="T29" i="83"/>
  <c r="P29" i="83"/>
  <c r="N29" i="83"/>
  <c r="L29" i="83"/>
  <c r="H29" i="83"/>
  <c r="D29" i="83"/>
  <c r="B29" i="83"/>
  <c r="X28" i="83"/>
  <c r="Z28" i="83" s="1"/>
  <c r="V28" i="83"/>
  <c r="N28" i="83"/>
  <c r="L28" i="83"/>
  <c r="B28" i="83"/>
  <c r="X27" i="83"/>
  <c r="Z27" i="83" s="1"/>
  <c r="T27" i="83"/>
  <c r="P27" i="83"/>
  <c r="J27" i="83"/>
  <c r="H27" i="83"/>
  <c r="D27" i="83"/>
  <c r="L27" i="83" s="1"/>
  <c r="B27" i="83"/>
  <c r="X26" i="83"/>
  <c r="Z26" i="83" s="1"/>
  <c r="R26" i="83"/>
  <c r="N26" i="83"/>
  <c r="L26" i="83"/>
  <c r="B26" i="83"/>
  <c r="V25" i="83"/>
  <c r="T25" i="83"/>
  <c r="P25" i="83"/>
  <c r="H25" i="83"/>
  <c r="N25" i="83" s="1"/>
  <c r="D25" i="83"/>
  <c r="L25" i="83" s="1"/>
  <c r="B25" i="83"/>
  <c r="Z24" i="83"/>
  <c r="X24" i="83"/>
  <c r="N24" i="83"/>
  <c r="L24" i="83"/>
  <c r="J24" i="83"/>
  <c r="B24" i="83"/>
  <c r="X23" i="83"/>
  <c r="Z23" i="83" s="1"/>
  <c r="N23" i="83"/>
  <c r="L23" i="83"/>
  <c r="B23" i="83"/>
  <c r="X22" i="83"/>
  <c r="Z22" i="83" s="1"/>
  <c r="R22" i="83"/>
  <c r="N22" i="83"/>
  <c r="L22" i="83"/>
  <c r="B22" i="83"/>
  <c r="Z21" i="83"/>
  <c r="X21" i="83"/>
  <c r="V21" i="83"/>
  <c r="R21" i="83"/>
  <c r="N21" i="83"/>
  <c r="L21" i="83"/>
  <c r="B21" i="83"/>
  <c r="X20" i="83"/>
  <c r="Z20" i="83" s="1"/>
  <c r="V20" i="83"/>
  <c r="N20" i="83"/>
  <c r="L20" i="83"/>
  <c r="B20" i="83"/>
  <c r="Z19" i="83"/>
  <c r="X19" i="83"/>
  <c r="T19" i="83"/>
  <c r="P19" i="83"/>
  <c r="J19" i="83"/>
  <c r="H19" i="83"/>
  <c r="N19" i="83" s="1"/>
  <c r="D19" i="83"/>
  <c r="L19" i="83" s="1"/>
  <c r="B19" i="83"/>
  <c r="T18" i="83"/>
  <c r="R18" i="83"/>
  <c r="P18" i="83"/>
  <c r="H18" i="83"/>
  <c r="N18" i="83" s="1"/>
  <c r="D18" i="83"/>
  <c r="L18" i="83" s="1"/>
  <c r="P16" i="83"/>
  <c r="P38" i="83" s="1"/>
  <c r="J16" i="83"/>
  <c r="T14" i="83"/>
  <c r="R14" i="83"/>
  <c r="P14" i="83"/>
  <c r="H14" i="83"/>
  <c r="N14" i="83" s="1"/>
  <c r="D14" i="83"/>
  <c r="L14" i="83" s="1"/>
  <c r="Z12" i="83"/>
  <c r="T12" i="83"/>
  <c r="V27" i="83" s="1"/>
  <c r="P12" i="83"/>
  <c r="R42" i="83" s="1"/>
  <c r="H12" i="83"/>
  <c r="J45" i="83" s="1"/>
  <c r="D12" i="83"/>
  <c r="F25" i="83" s="1"/>
  <c r="D6" i="83"/>
  <c r="D4" i="83"/>
  <c r="V36" i="82"/>
  <c r="F36" i="82"/>
  <c r="Z34" i="82"/>
  <c r="X34" i="82"/>
  <c r="N34" i="82"/>
  <c r="L34" i="82"/>
  <c r="J34" i="82"/>
  <c r="X30" i="82"/>
  <c r="V30" i="82"/>
  <c r="T30" i="82"/>
  <c r="Z30" i="82" s="1"/>
  <c r="P30" i="82"/>
  <c r="H30" i="82"/>
  <c r="F30" i="82"/>
  <c r="D30" i="82"/>
  <c r="X28" i="82"/>
  <c r="Z28" i="82" s="1"/>
  <c r="L28" i="82"/>
  <c r="N28" i="82" s="1"/>
  <c r="J28" i="82"/>
  <c r="B28" i="82"/>
  <c r="T27" i="82"/>
  <c r="P27" i="82"/>
  <c r="X27" i="82" s="1"/>
  <c r="L27" i="82"/>
  <c r="H27" i="82"/>
  <c r="N27" i="82" s="1"/>
  <c r="D27" i="82"/>
  <c r="B27" i="82"/>
  <c r="Z26" i="82"/>
  <c r="X26" i="82"/>
  <c r="N26" i="82"/>
  <c r="L26" i="82"/>
  <c r="F26" i="82"/>
  <c r="B26" i="82"/>
  <c r="X25" i="82"/>
  <c r="T25" i="82"/>
  <c r="Z25" i="82" s="1"/>
  <c r="P25" i="82"/>
  <c r="N25" i="82"/>
  <c r="L25" i="82"/>
  <c r="H25" i="82"/>
  <c r="D25" i="82"/>
  <c r="B25" i="82"/>
  <c r="X24" i="82"/>
  <c r="Z24" i="82" s="1"/>
  <c r="V24" i="82"/>
  <c r="N24" i="82"/>
  <c r="L24" i="82"/>
  <c r="B24" i="82"/>
  <c r="Z23" i="82"/>
  <c r="X23" i="82"/>
  <c r="T23" i="82"/>
  <c r="P23" i="82"/>
  <c r="J23" i="82"/>
  <c r="H23" i="82"/>
  <c r="D23" i="82"/>
  <c r="B23" i="82"/>
  <c r="X22" i="82"/>
  <c r="Z22" i="82" s="1"/>
  <c r="N22" i="82"/>
  <c r="L22" i="82"/>
  <c r="B22" i="82"/>
  <c r="V21" i="82"/>
  <c r="T21" i="82"/>
  <c r="P21" i="82"/>
  <c r="X21" i="82" s="1"/>
  <c r="H21" i="82"/>
  <c r="N21" i="82" s="1"/>
  <c r="F21" i="82"/>
  <c r="D21" i="82"/>
  <c r="L21" i="82" s="1"/>
  <c r="B21" i="82"/>
  <c r="Z20" i="82"/>
  <c r="X20" i="82"/>
  <c r="L20" i="82"/>
  <c r="N20" i="82" s="1"/>
  <c r="J20" i="82"/>
  <c r="B20" i="82"/>
  <c r="T19" i="82"/>
  <c r="P19" i="82"/>
  <c r="X19" i="82" s="1"/>
  <c r="L19" i="82"/>
  <c r="H19" i="82"/>
  <c r="N19" i="82" s="1"/>
  <c r="D19" i="82"/>
  <c r="B19" i="82"/>
  <c r="Z18" i="82"/>
  <c r="T18" i="82"/>
  <c r="P18" i="82"/>
  <c r="X18" i="82" s="1"/>
  <c r="L18" i="82"/>
  <c r="J18" i="82"/>
  <c r="H18" i="82"/>
  <c r="D18" i="82"/>
  <c r="T16" i="82"/>
  <c r="H16" i="82"/>
  <c r="N16" i="82" s="1"/>
  <c r="D16" i="82"/>
  <c r="Z14" i="82"/>
  <c r="V14" i="82"/>
  <c r="T14" i="82"/>
  <c r="P14" i="82"/>
  <c r="X14" i="82" s="1"/>
  <c r="L14" i="82"/>
  <c r="J14" i="82"/>
  <c r="H14" i="82"/>
  <c r="N14" i="82" s="1"/>
  <c r="D14" i="82"/>
  <c r="T12" i="82"/>
  <c r="V23" i="82" s="1"/>
  <c r="P12" i="82"/>
  <c r="N12" i="82"/>
  <c r="H12" i="82"/>
  <c r="J25" i="82" s="1"/>
  <c r="D12" i="82"/>
  <c r="F34" i="82" s="1"/>
  <c r="D6" i="82"/>
  <c r="D4" i="82"/>
  <c r="V77" i="81"/>
  <c r="Z72" i="81"/>
  <c r="X72" i="81"/>
  <c r="N72" i="81"/>
  <c r="L72" i="81"/>
  <c r="V70" i="81"/>
  <c r="Z68" i="81"/>
  <c r="T68" i="81"/>
  <c r="P68" i="81"/>
  <c r="X68" i="81" s="1"/>
  <c r="L68" i="81"/>
  <c r="J68" i="81"/>
  <c r="H68" i="81"/>
  <c r="N68" i="81" s="1"/>
  <c r="D68" i="81"/>
  <c r="B68" i="81"/>
  <c r="V67" i="81"/>
  <c r="T67" i="81"/>
  <c r="P67" i="81"/>
  <c r="H67" i="81"/>
  <c r="F67" i="81"/>
  <c r="D67" i="81"/>
  <c r="B67" i="81"/>
  <c r="P66" i="81"/>
  <c r="H66" i="81"/>
  <c r="Z64" i="81"/>
  <c r="X64" i="81"/>
  <c r="V64" i="81"/>
  <c r="N64" i="81"/>
  <c r="L64" i="81"/>
  <c r="B64" i="81"/>
  <c r="Z63" i="81"/>
  <c r="X63" i="81"/>
  <c r="T63" i="81"/>
  <c r="P63" i="81"/>
  <c r="J63" i="81"/>
  <c r="H63" i="81"/>
  <c r="D63" i="81"/>
  <c r="B63" i="81"/>
  <c r="Z62" i="81"/>
  <c r="X62" i="81"/>
  <c r="N62" i="81"/>
  <c r="L62" i="81"/>
  <c r="B62" i="81"/>
  <c r="V61" i="81"/>
  <c r="T61" i="81"/>
  <c r="P61" i="81"/>
  <c r="H61" i="81"/>
  <c r="F61" i="81"/>
  <c r="D61" i="81"/>
  <c r="L61" i="81" s="1"/>
  <c r="N61" i="81" s="1"/>
  <c r="B61" i="81"/>
  <c r="X60" i="81"/>
  <c r="Z60" i="81" s="1"/>
  <c r="L60" i="81"/>
  <c r="N60" i="81" s="1"/>
  <c r="J60" i="81"/>
  <c r="B60" i="81"/>
  <c r="T59" i="81"/>
  <c r="P59" i="81"/>
  <c r="X59" i="81" s="1"/>
  <c r="Z59" i="81" s="1"/>
  <c r="H59" i="81"/>
  <c r="D59" i="81"/>
  <c r="L59" i="81" s="1"/>
  <c r="B59" i="81"/>
  <c r="Z58" i="81"/>
  <c r="X58" i="81"/>
  <c r="N58" i="81"/>
  <c r="L58" i="81"/>
  <c r="F58" i="81"/>
  <c r="B58" i="81"/>
  <c r="Z57" i="81"/>
  <c r="X57" i="81"/>
  <c r="N57" i="81"/>
  <c r="L57" i="81"/>
  <c r="J57" i="81"/>
  <c r="F57" i="81"/>
  <c r="B57" i="81"/>
  <c r="T56" i="81"/>
  <c r="P56" i="81"/>
  <c r="X56" i="81" s="1"/>
  <c r="N56" i="81"/>
  <c r="H56" i="81"/>
  <c r="L56" i="81" s="1"/>
  <c r="D56" i="81"/>
  <c r="B56" i="81"/>
  <c r="Z55" i="81"/>
  <c r="X55" i="81"/>
  <c r="N55" i="81"/>
  <c r="L55" i="81"/>
  <c r="B55" i="81"/>
  <c r="Z54" i="81"/>
  <c r="X54" i="81"/>
  <c r="N54" i="81"/>
  <c r="L54" i="81"/>
  <c r="F54" i="81"/>
  <c r="B54" i="81"/>
  <c r="T53" i="81"/>
  <c r="Z53" i="81" s="1"/>
  <c r="P53" i="81"/>
  <c r="X53" i="81" s="1"/>
  <c r="N53" i="81"/>
  <c r="L53" i="81"/>
  <c r="H53" i="81"/>
  <c r="D53" i="81"/>
  <c r="B53" i="81"/>
  <c r="X52" i="81"/>
  <c r="Z52" i="81" s="1"/>
  <c r="V52" i="81"/>
  <c r="N52" i="81"/>
  <c r="L52" i="81"/>
  <c r="B52" i="81"/>
  <c r="Z51" i="81"/>
  <c r="X51" i="81"/>
  <c r="N51" i="81"/>
  <c r="L51" i="81"/>
  <c r="B51" i="81"/>
  <c r="Z50" i="81"/>
  <c r="X50" i="81"/>
  <c r="N50" i="81"/>
  <c r="L50" i="81"/>
  <c r="F50" i="81"/>
  <c r="B50" i="81"/>
  <c r="T49" i="81"/>
  <c r="P49" i="81"/>
  <c r="X49" i="81" s="1"/>
  <c r="N49" i="81"/>
  <c r="L49" i="81"/>
  <c r="H49" i="81"/>
  <c r="D49" i="81"/>
  <c r="B49" i="81"/>
  <c r="X48" i="81"/>
  <c r="Z48" i="81" s="1"/>
  <c r="V48" i="81"/>
  <c r="L48" i="81"/>
  <c r="N48" i="81" s="1"/>
  <c r="B48" i="81"/>
  <c r="X47" i="81"/>
  <c r="Z47" i="81" s="1"/>
  <c r="T47" i="81"/>
  <c r="P47" i="81"/>
  <c r="J47" i="81"/>
  <c r="H47" i="81"/>
  <c r="D47" i="81"/>
  <c r="B47" i="81"/>
  <c r="Z46" i="81"/>
  <c r="X46" i="81"/>
  <c r="N46" i="81"/>
  <c r="L46" i="81"/>
  <c r="B46" i="81"/>
  <c r="V45" i="81"/>
  <c r="T45" i="81"/>
  <c r="P45" i="81"/>
  <c r="N45" i="81"/>
  <c r="H45" i="81"/>
  <c r="F45" i="81"/>
  <c r="D45" i="81"/>
  <c r="L45" i="81" s="1"/>
  <c r="B45" i="81"/>
  <c r="X44" i="81"/>
  <c r="Z44" i="81" s="1"/>
  <c r="L44" i="81"/>
  <c r="N44" i="81" s="1"/>
  <c r="J44" i="81"/>
  <c r="B44" i="81"/>
  <c r="T43" i="81"/>
  <c r="P43" i="81"/>
  <c r="X43" i="81" s="1"/>
  <c r="Z43" i="81" s="1"/>
  <c r="H43" i="81"/>
  <c r="D43" i="81"/>
  <c r="L43" i="81" s="1"/>
  <c r="B43" i="81"/>
  <c r="Z42" i="81"/>
  <c r="X42" i="81"/>
  <c r="N42" i="81"/>
  <c r="L42" i="81"/>
  <c r="F42" i="81"/>
  <c r="B42" i="81"/>
  <c r="T41" i="81"/>
  <c r="Z41" i="81" s="1"/>
  <c r="P41" i="81"/>
  <c r="X41" i="81" s="1"/>
  <c r="L41" i="81"/>
  <c r="N41" i="81" s="1"/>
  <c r="H41" i="81"/>
  <c r="D41" i="81"/>
  <c r="B41" i="81"/>
  <c r="Z40" i="81"/>
  <c r="X40" i="81"/>
  <c r="V40" i="81"/>
  <c r="N40" i="81"/>
  <c r="L40" i="81"/>
  <c r="B40" i="81"/>
  <c r="Z39" i="81"/>
  <c r="X39" i="81"/>
  <c r="T39" i="81"/>
  <c r="P39" i="81"/>
  <c r="J39" i="81"/>
  <c r="H39" i="81"/>
  <c r="D39" i="81"/>
  <c r="B39" i="81"/>
  <c r="Z38" i="81"/>
  <c r="X38" i="81"/>
  <c r="R38" i="81"/>
  <c r="N38" i="81"/>
  <c r="L38" i="81"/>
  <c r="B38" i="81"/>
  <c r="Z37" i="81"/>
  <c r="X37" i="81"/>
  <c r="V37" i="81"/>
  <c r="R37" i="81"/>
  <c r="N37" i="81"/>
  <c r="L37" i="81"/>
  <c r="B37" i="81"/>
  <c r="X36" i="81"/>
  <c r="V36" i="81"/>
  <c r="T36" i="81"/>
  <c r="Z36" i="81" s="1"/>
  <c r="P36" i="81"/>
  <c r="H36" i="81"/>
  <c r="F36" i="81"/>
  <c r="D36" i="81"/>
  <c r="B36" i="81"/>
  <c r="X35" i="81"/>
  <c r="Z35" i="81" s="1"/>
  <c r="N35" i="81"/>
  <c r="L35" i="81"/>
  <c r="B35" i="81"/>
  <c r="T34" i="81"/>
  <c r="R34" i="81"/>
  <c r="P34" i="81"/>
  <c r="H34" i="81"/>
  <c r="N34" i="81" s="1"/>
  <c r="D34" i="81"/>
  <c r="L34" i="81" s="1"/>
  <c r="B34" i="81"/>
  <c r="Z33" i="81"/>
  <c r="X33" i="81"/>
  <c r="N33" i="81"/>
  <c r="L33" i="81"/>
  <c r="J33" i="81"/>
  <c r="F33" i="81"/>
  <c r="B33" i="81"/>
  <c r="Z32" i="81"/>
  <c r="X32" i="81"/>
  <c r="N32" i="81"/>
  <c r="L32" i="81"/>
  <c r="J32" i="81"/>
  <c r="B32" i="81"/>
  <c r="Z31" i="81"/>
  <c r="X31" i="81"/>
  <c r="N31" i="81"/>
  <c r="L31" i="81"/>
  <c r="B31" i="81"/>
  <c r="X30" i="81"/>
  <c r="Z30" i="81" s="1"/>
  <c r="R30" i="81"/>
  <c r="N30" i="81"/>
  <c r="L30" i="81"/>
  <c r="B30" i="81"/>
  <c r="Z29" i="81"/>
  <c r="X29" i="81"/>
  <c r="V29" i="81"/>
  <c r="R29" i="81"/>
  <c r="N29" i="81"/>
  <c r="L29" i="81"/>
  <c r="B29" i="81"/>
  <c r="X28" i="81"/>
  <c r="V28" i="81"/>
  <c r="T28" i="81"/>
  <c r="Z28" i="81" s="1"/>
  <c r="P28" i="81"/>
  <c r="H28" i="81"/>
  <c r="F28" i="81"/>
  <c r="D28" i="81"/>
  <c r="B28" i="81"/>
  <c r="Z27" i="81"/>
  <c r="X27" i="81"/>
  <c r="N27" i="81"/>
  <c r="L27" i="81"/>
  <c r="B27" i="81"/>
  <c r="X26" i="81"/>
  <c r="Z26" i="81" s="1"/>
  <c r="R26" i="81"/>
  <c r="N26" i="81"/>
  <c r="L26" i="81"/>
  <c r="B26" i="81"/>
  <c r="Z25" i="81"/>
  <c r="X25" i="81"/>
  <c r="V25" i="81"/>
  <c r="R25" i="81"/>
  <c r="N25" i="81"/>
  <c r="L25" i="81"/>
  <c r="J25" i="81"/>
  <c r="B25" i="81"/>
  <c r="X24" i="81"/>
  <c r="Z24" i="81" s="1"/>
  <c r="V24" i="81"/>
  <c r="L24" i="81"/>
  <c r="N24" i="81" s="1"/>
  <c r="B24" i="81"/>
  <c r="Z23" i="81"/>
  <c r="X23" i="81"/>
  <c r="N23" i="81"/>
  <c r="L23" i="81"/>
  <c r="B23" i="81"/>
  <c r="Z22" i="81"/>
  <c r="X22" i="81"/>
  <c r="L22" i="81"/>
  <c r="N22" i="81" s="1"/>
  <c r="F22" i="81"/>
  <c r="B22" i="81"/>
  <c r="Z21" i="81"/>
  <c r="X21" i="81"/>
  <c r="V21" i="81"/>
  <c r="N21" i="81"/>
  <c r="L21" i="81"/>
  <c r="J21" i="81"/>
  <c r="F21" i="81"/>
  <c r="B21" i="81"/>
  <c r="X20" i="81"/>
  <c r="Z20" i="81" s="1"/>
  <c r="L20" i="81"/>
  <c r="N20" i="81" s="1"/>
  <c r="J20" i="81"/>
  <c r="B20" i="81"/>
  <c r="V19" i="81"/>
  <c r="T19" i="81"/>
  <c r="R19" i="81"/>
  <c r="P19" i="81"/>
  <c r="X19" i="81" s="1"/>
  <c r="Z19" i="81" s="1"/>
  <c r="J19" i="81"/>
  <c r="H19" i="81"/>
  <c r="D19" i="81"/>
  <c r="L19" i="81" s="1"/>
  <c r="B19" i="81"/>
  <c r="T18" i="81"/>
  <c r="P18" i="81"/>
  <c r="X18" i="81" s="1"/>
  <c r="Z18" i="81" s="1"/>
  <c r="L18" i="81"/>
  <c r="J18" i="81"/>
  <c r="H18" i="81"/>
  <c r="D18" i="81"/>
  <c r="T16" i="81"/>
  <c r="R16" i="81"/>
  <c r="J16" i="81"/>
  <c r="D16" i="81"/>
  <c r="Z14" i="81"/>
  <c r="T14" i="81"/>
  <c r="P14" i="81"/>
  <c r="X14" i="81" s="1"/>
  <c r="L14" i="81"/>
  <c r="J14" i="81"/>
  <c r="H14" i="81"/>
  <c r="H16" i="81" s="1"/>
  <c r="D14" i="81"/>
  <c r="Z12" i="81"/>
  <c r="T12" i="81"/>
  <c r="V74" i="81" s="1"/>
  <c r="P12" i="81"/>
  <c r="R46" i="81" s="1"/>
  <c r="N12" i="81"/>
  <c r="H12" i="81"/>
  <c r="J59" i="81" s="1"/>
  <c r="D12" i="81"/>
  <c r="F74" i="81" s="1"/>
  <c r="D6" i="81"/>
  <c r="D4" i="81"/>
  <c r="V39" i="80"/>
  <c r="Z34" i="80"/>
  <c r="X34" i="80"/>
  <c r="V34" i="80"/>
  <c r="N34" i="80"/>
  <c r="L34" i="80"/>
  <c r="V32" i="80"/>
  <c r="T30" i="80"/>
  <c r="Z30" i="80" s="1"/>
  <c r="P30" i="80"/>
  <c r="X30" i="80" s="1"/>
  <c r="N30" i="80"/>
  <c r="H30" i="80"/>
  <c r="D30" i="80"/>
  <c r="L30" i="80" s="1"/>
  <c r="X28" i="80"/>
  <c r="Z28" i="80" s="1"/>
  <c r="V28" i="80"/>
  <c r="N28" i="80"/>
  <c r="L28" i="80"/>
  <c r="B28" i="80"/>
  <c r="Z27" i="80"/>
  <c r="X27" i="80"/>
  <c r="T27" i="80"/>
  <c r="P27" i="80"/>
  <c r="J27" i="80"/>
  <c r="H27" i="80"/>
  <c r="D27" i="80"/>
  <c r="B27" i="80"/>
  <c r="X26" i="80"/>
  <c r="Z26" i="80" s="1"/>
  <c r="R26" i="80"/>
  <c r="N26" i="80"/>
  <c r="L26" i="80"/>
  <c r="B26" i="80"/>
  <c r="V25" i="80"/>
  <c r="T25" i="80"/>
  <c r="P25" i="80"/>
  <c r="J25" i="80"/>
  <c r="H25" i="80"/>
  <c r="D25" i="80"/>
  <c r="L25" i="80" s="1"/>
  <c r="N25" i="80" s="1"/>
  <c r="B25" i="80"/>
  <c r="X24" i="80"/>
  <c r="Z24" i="80" s="1"/>
  <c r="N24" i="80"/>
  <c r="L24" i="80"/>
  <c r="J24" i="80"/>
  <c r="B24" i="80"/>
  <c r="V23" i="80"/>
  <c r="T23" i="80"/>
  <c r="R23" i="80"/>
  <c r="P23" i="80"/>
  <c r="X23" i="80" s="1"/>
  <c r="Z23" i="80" s="1"/>
  <c r="N23" i="80"/>
  <c r="J23" i="80"/>
  <c r="H23" i="80"/>
  <c r="D23" i="80"/>
  <c r="L23" i="80" s="1"/>
  <c r="B23" i="80"/>
  <c r="Z22" i="80"/>
  <c r="X22" i="80"/>
  <c r="L22" i="80"/>
  <c r="N22" i="80" s="1"/>
  <c r="B22" i="80"/>
  <c r="V21" i="80"/>
  <c r="T21" i="80"/>
  <c r="P21" i="80"/>
  <c r="X21" i="80" s="1"/>
  <c r="Z21" i="80" s="1"/>
  <c r="N21" i="80"/>
  <c r="L21" i="80"/>
  <c r="J21" i="80"/>
  <c r="H21" i="80"/>
  <c r="D21" i="80"/>
  <c r="B21" i="80"/>
  <c r="X20" i="80"/>
  <c r="Z20" i="80" s="1"/>
  <c r="V20" i="80"/>
  <c r="N20" i="80"/>
  <c r="L20" i="80"/>
  <c r="B20" i="80"/>
  <c r="X19" i="80"/>
  <c r="Z19" i="80" s="1"/>
  <c r="V19" i="80"/>
  <c r="T19" i="80"/>
  <c r="P19" i="80"/>
  <c r="J19" i="80"/>
  <c r="H19" i="80"/>
  <c r="D19" i="80"/>
  <c r="B19" i="80"/>
  <c r="T18" i="80"/>
  <c r="R18" i="80"/>
  <c r="P18" i="80"/>
  <c r="J18" i="80"/>
  <c r="H18" i="80"/>
  <c r="N18" i="80" s="1"/>
  <c r="D18" i="80"/>
  <c r="L18" i="80" s="1"/>
  <c r="J16" i="80"/>
  <c r="T14" i="80"/>
  <c r="R14" i="80"/>
  <c r="P14" i="80"/>
  <c r="J14" i="80"/>
  <c r="H14" i="80"/>
  <c r="H16" i="80" s="1"/>
  <c r="N16" i="80" s="1"/>
  <c r="D14" i="80"/>
  <c r="L14" i="80" s="1"/>
  <c r="Z12" i="80"/>
  <c r="T12" i="80"/>
  <c r="V27" i="80" s="1"/>
  <c r="P12" i="80"/>
  <c r="R34" i="80" s="1"/>
  <c r="N12" i="80"/>
  <c r="H12" i="80"/>
  <c r="J36" i="80" s="1"/>
  <c r="D12" i="80"/>
  <c r="F32" i="80" s="1"/>
  <c r="D6" i="80"/>
  <c r="D4" i="80"/>
  <c r="Z74" i="79"/>
  <c r="X74" i="79"/>
  <c r="N74" i="79"/>
  <c r="L74" i="79"/>
  <c r="J74" i="79"/>
  <c r="X70" i="79"/>
  <c r="T70" i="79"/>
  <c r="Z70" i="79" s="1"/>
  <c r="P70" i="79"/>
  <c r="H70" i="79"/>
  <c r="N70" i="79" s="1"/>
  <c r="D70" i="79"/>
  <c r="Z68" i="79"/>
  <c r="X68" i="79"/>
  <c r="N68" i="79"/>
  <c r="L68" i="79"/>
  <c r="B68" i="79"/>
  <c r="Z67" i="79"/>
  <c r="T67" i="79"/>
  <c r="R67" i="79"/>
  <c r="P67" i="79"/>
  <c r="X67" i="79" s="1"/>
  <c r="N67" i="79"/>
  <c r="H67" i="79"/>
  <c r="D67" i="79"/>
  <c r="L67" i="79" s="1"/>
  <c r="B67" i="79"/>
  <c r="Z66" i="79"/>
  <c r="X66" i="79"/>
  <c r="N66" i="79"/>
  <c r="L66" i="79"/>
  <c r="B66" i="79"/>
  <c r="T65" i="79"/>
  <c r="P65" i="79"/>
  <c r="X65" i="79" s="1"/>
  <c r="Z65" i="79" s="1"/>
  <c r="N65" i="79"/>
  <c r="L65" i="79"/>
  <c r="H65" i="79"/>
  <c r="D65" i="79"/>
  <c r="B65" i="79"/>
  <c r="Z64" i="79"/>
  <c r="X64" i="79"/>
  <c r="V64" i="79"/>
  <c r="N64" i="79"/>
  <c r="L64" i="79"/>
  <c r="B64" i="79"/>
  <c r="Z63" i="79"/>
  <c r="X63" i="79"/>
  <c r="N63" i="79"/>
  <c r="L63" i="79"/>
  <c r="B63" i="79"/>
  <c r="Z62" i="79"/>
  <c r="X62" i="79"/>
  <c r="N62" i="79"/>
  <c r="L62" i="79"/>
  <c r="B62" i="79"/>
  <c r="Z61" i="79"/>
  <c r="X61" i="79"/>
  <c r="N61" i="79"/>
  <c r="L61" i="79"/>
  <c r="B61" i="79"/>
  <c r="Z60" i="79"/>
  <c r="X60" i="79"/>
  <c r="N60" i="79"/>
  <c r="L60" i="79"/>
  <c r="B60" i="79"/>
  <c r="Z59" i="79"/>
  <c r="X59" i="79"/>
  <c r="N59" i="79"/>
  <c r="L59" i="79"/>
  <c r="B59" i="79"/>
  <c r="T58" i="79"/>
  <c r="Z58" i="79" s="1"/>
  <c r="R58" i="79"/>
  <c r="P58" i="79"/>
  <c r="H58" i="79"/>
  <c r="N58" i="79" s="1"/>
  <c r="D58" i="79"/>
  <c r="L58" i="79" s="1"/>
  <c r="B58" i="79"/>
  <c r="Z57" i="79"/>
  <c r="X57" i="79"/>
  <c r="N57" i="79"/>
  <c r="L57" i="79"/>
  <c r="B57" i="79"/>
  <c r="Z56" i="79"/>
  <c r="X56" i="79"/>
  <c r="N56" i="79"/>
  <c r="L56" i="79"/>
  <c r="B56" i="79"/>
  <c r="Z55" i="79"/>
  <c r="T55" i="79"/>
  <c r="R55" i="79"/>
  <c r="P55" i="79"/>
  <c r="X55" i="79" s="1"/>
  <c r="N55" i="79"/>
  <c r="L55" i="79"/>
  <c r="H55" i="79"/>
  <c r="D55" i="79"/>
  <c r="B55" i="79"/>
  <c r="Z54" i="79"/>
  <c r="X54" i="79"/>
  <c r="L54" i="79"/>
  <c r="N54" i="79" s="1"/>
  <c r="B54" i="79"/>
  <c r="Z53" i="79"/>
  <c r="X53" i="79"/>
  <c r="N53" i="79"/>
  <c r="L53" i="79"/>
  <c r="B53" i="79"/>
  <c r="T52" i="79"/>
  <c r="Z52" i="79" s="1"/>
  <c r="P52" i="79"/>
  <c r="X52" i="79" s="1"/>
  <c r="N52" i="79"/>
  <c r="H52" i="79"/>
  <c r="L52" i="79" s="1"/>
  <c r="D52" i="79"/>
  <c r="B52" i="79"/>
  <c r="X51" i="79"/>
  <c r="Z51" i="79" s="1"/>
  <c r="N51" i="79"/>
  <c r="L51" i="79"/>
  <c r="B51" i="79"/>
  <c r="Z50" i="79"/>
  <c r="T50" i="79"/>
  <c r="X50" i="79" s="1"/>
  <c r="P50" i="79"/>
  <c r="L50" i="79"/>
  <c r="J50" i="79"/>
  <c r="H50" i="79"/>
  <c r="N50" i="79" s="1"/>
  <c r="D50" i="79"/>
  <c r="B50" i="79"/>
  <c r="Z49" i="79"/>
  <c r="X49" i="79"/>
  <c r="R49" i="79"/>
  <c r="N49" i="79"/>
  <c r="L49" i="79"/>
  <c r="B49" i="79"/>
  <c r="X48" i="79"/>
  <c r="T48" i="79"/>
  <c r="Z48" i="79" s="1"/>
  <c r="P48" i="79"/>
  <c r="H48" i="79"/>
  <c r="N48" i="79" s="1"/>
  <c r="D48" i="79"/>
  <c r="L48" i="79" s="1"/>
  <c r="B48" i="79"/>
  <c r="Z47" i="79"/>
  <c r="X47" i="79"/>
  <c r="L47" i="79"/>
  <c r="N47" i="79" s="1"/>
  <c r="B47" i="79"/>
  <c r="T46" i="79"/>
  <c r="R46" i="79"/>
  <c r="P46" i="79"/>
  <c r="H46" i="79"/>
  <c r="N46" i="79" s="1"/>
  <c r="D46" i="79"/>
  <c r="L46" i="79" s="1"/>
  <c r="B46" i="79"/>
  <c r="Z45" i="79"/>
  <c r="X45" i="79"/>
  <c r="N45" i="79"/>
  <c r="L45" i="79"/>
  <c r="B45" i="79"/>
  <c r="X44" i="79"/>
  <c r="Z44" i="79" s="1"/>
  <c r="L44" i="79"/>
  <c r="N44" i="79" s="1"/>
  <c r="B44" i="79"/>
  <c r="T43" i="79"/>
  <c r="P43" i="79"/>
  <c r="X43" i="79" s="1"/>
  <c r="Z43" i="79" s="1"/>
  <c r="N43" i="79"/>
  <c r="L43" i="79"/>
  <c r="H43" i="79"/>
  <c r="D43" i="79"/>
  <c r="B43" i="79"/>
  <c r="Z42" i="79"/>
  <c r="X42" i="79"/>
  <c r="N42" i="79"/>
  <c r="L42" i="79"/>
  <c r="B42" i="79"/>
  <c r="Z41" i="79"/>
  <c r="T41" i="79"/>
  <c r="P41" i="79"/>
  <c r="X41" i="79" s="1"/>
  <c r="N41" i="79"/>
  <c r="L41" i="79"/>
  <c r="H41" i="79"/>
  <c r="D41" i="79"/>
  <c r="B41" i="79"/>
  <c r="Z40" i="79"/>
  <c r="X40" i="79"/>
  <c r="N40" i="79"/>
  <c r="L40" i="79"/>
  <c r="B40" i="79"/>
  <c r="Z39" i="79"/>
  <c r="X39" i="79"/>
  <c r="T39" i="79"/>
  <c r="P39" i="79"/>
  <c r="J39" i="79"/>
  <c r="H39" i="79"/>
  <c r="D39" i="79"/>
  <c r="B39" i="79"/>
  <c r="Z38" i="79"/>
  <c r="X38" i="79"/>
  <c r="R38" i="79"/>
  <c r="N38" i="79"/>
  <c r="L38" i="79"/>
  <c r="B38" i="79"/>
  <c r="T37" i="79"/>
  <c r="P37" i="79"/>
  <c r="N37" i="79"/>
  <c r="H37" i="79"/>
  <c r="D37" i="79"/>
  <c r="L37" i="79" s="1"/>
  <c r="B37" i="79"/>
  <c r="Z36" i="79"/>
  <c r="X36" i="79"/>
  <c r="N36" i="79"/>
  <c r="L36" i="79"/>
  <c r="B36" i="79"/>
  <c r="Z35" i="79"/>
  <c r="X35" i="79"/>
  <c r="N35" i="79"/>
  <c r="L35" i="79"/>
  <c r="B35" i="79"/>
  <c r="Z34" i="79"/>
  <c r="X34" i="79"/>
  <c r="R34" i="79"/>
  <c r="N34" i="79"/>
  <c r="L34" i="79"/>
  <c r="B34" i="79"/>
  <c r="Z33" i="79"/>
  <c r="X33" i="79"/>
  <c r="R33" i="79"/>
  <c r="N33" i="79"/>
  <c r="L33" i="79"/>
  <c r="B33" i="79"/>
  <c r="X32" i="79"/>
  <c r="T32" i="79"/>
  <c r="Z32" i="79" s="1"/>
  <c r="P32" i="79"/>
  <c r="H32" i="79"/>
  <c r="N32" i="79" s="1"/>
  <c r="D32" i="79"/>
  <c r="L32" i="79" s="1"/>
  <c r="B32" i="79"/>
  <c r="Z31" i="79"/>
  <c r="X31" i="79"/>
  <c r="N31" i="79"/>
  <c r="L31" i="79"/>
  <c r="B31" i="79"/>
  <c r="Z30" i="79"/>
  <c r="X30" i="79"/>
  <c r="R30" i="79"/>
  <c r="N30" i="79"/>
  <c r="L30" i="79"/>
  <c r="B30" i="79"/>
  <c r="Z29" i="79"/>
  <c r="X29" i="79"/>
  <c r="V29" i="79"/>
  <c r="R29" i="79"/>
  <c r="N29" i="79"/>
  <c r="L29" i="79"/>
  <c r="B29" i="79"/>
  <c r="Z28" i="79"/>
  <c r="X28" i="79"/>
  <c r="N28" i="79"/>
  <c r="L28" i="79"/>
  <c r="B28" i="79"/>
  <c r="Z27" i="79"/>
  <c r="X27" i="79"/>
  <c r="N27" i="79"/>
  <c r="L27" i="79"/>
  <c r="B27" i="79"/>
  <c r="Z26" i="79"/>
  <c r="X26" i="79"/>
  <c r="N26" i="79"/>
  <c r="L26" i="79"/>
  <c r="B26" i="79"/>
  <c r="Z25" i="79"/>
  <c r="X25" i="79"/>
  <c r="N25" i="79"/>
  <c r="L25" i="79"/>
  <c r="B25" i="79"/>
  <c r="Z24" i="79"/>
  <c r="X24" i="79"/>
  <c r="N24" i="79"/>
  <c r="L24" i="79"/>
  <c r="J24" i="79"/>
  <c r="B24" i="79"/>
  <c r="Z23" i="79"/>
  <c r="T23" i="79"/>
  <c r="P23" i="79"/>
  <c r="X23" i="79" s="1"/>
  <c r="N23" i="79"/>
  <c r="H23" i="79"/>
  <c r="D23" i="79"/>
  <c r="L23" i="79" s="1"/>
  <c r="B23" i="79"/>
  <c r="Z22" i="79"/>
  <c r="T22" i="79"/>
  <c r="P22" i="79"/>
  <c r="X22" i="79" s="1"/>
  <c r="L22" i="79"/>
  <c r="H22" i="79"/>
  <c r="N22" i="79" s="1"/>
  <c r="D22" i="79"/>
  <c r="Z18" i="79"/>
  <c r="X18" i="79"/>
  <c r="N18" i="79"/>
  <c r="L18" i="79"/>
  <c r="B18" i="79"/>
  <c r="Z17" i="79"/>
  <c r="X17" i="79"/>
  <c r="N17" i="79"/>
  <c r="L17" i="79"/>
  <c r="B17" i="79"/>
  <c r="T16" i="79"/>
  <c r="Z16" i="79" s="1"/>
  <c r="P16" i="79"/>
  <c r="X16" i="79" s="1"/>
  <c r="N16" i="79"/>
  <c r="H16" i="79"/>
  <c r="L16" i="79" s="1"/>
  <c r="D16" i="79"/>
  <c r="T14" i="79"/>
  <c r="P14" i="79"/>
  <c r="L14" i="79"/>
  <c r="H14" i="79"/>
  <c r="N14" i="79" s="1"/>
  <c r="D14" i="79"/>
  <c r="B14" i="79"/>
  <c r="Z13" i="79"/>
  <c r="X13" i="79"/>
  <c r="T13" i="79"/>
  <c r="T12" i="79" s="1"/>
  <c r="P13" i="79"/>
  <c r="N13" i="79"/>
  <c r="H13" i="79"/>
  <c r="H12" i="79" s="1"/>
  <c r="J53" i="79" s="1"/>
  <c r="D13" i="79"/>
  <c r="L13" i="79" s="1"/>
  <c r="B13" i="79"/>
  <c r="P12" i="79"/>
  <c r="R64" i="79" s="1"/>
  <c r="D12" i="79"/>
  <c r="F48" i="79" s="1"/>
  <c r="D6" i="79"/>
  <c r="D4" i="79"/>
  <c r="X30" i="78"/>
  <c r="Z30" i="78" s="1"/>
  <c r="L30" i="78"/>
  <c r="N30" i="78" s="1"/>
  <c r="J30" i="78"/>
  <c r="X26" i="78"/>
  <c r="T26" i="78"/>
  <c r="Z26" i="78" s="1"/>
  <c r="P26" i="78"/>
  <c r="H26" i="78"/>
  <c r="N26" i="78" s="1"/>
  <c r="D26" i="78"/>
  <c r="L26" i="78" s="1"/>
  <c r="Z24" i="78"/>
  <c r="X24" i="78"/>
  <c r="N24" i="78"/>
  <c r="L24" i="78"/>
  <c r="J24" i="78"/>
  <c r="B24" i="78"/>
  <c r="Z23" i="78"/>
  <c r="T23" i="78"/>
  <c r="P23" i="78"/>
  <c r="X23" i="78" s="1"/>
  <c r="N23" i="78"/>
  <c r="L23" i="78"/>
  <c r="H23" i="78"/>
  <c r="D23" i="78"/>
  <c r="B23" i="78"/>
  <c r="Z22" i="78"/>
  <c r="T22" i="78"/>
  <c r="X22" i="78" s="1"/>
  <c r="P22" i="78"/>
  <c r="L22" i="78"/>
  <c r="J22" i="78"/>
  <c r="H22" i="78"/>
  <c r="N22" i="78" s="1"/>
  <c r="D22" i="78"/>
  <c r="Z18" i="78"/>
  <c r="X18" i="78"/>
  <c r="N18" i="78"/>
  <c r="L18" i="78"/>
  <c r="B18" i="78"/>
  <c r="Z17" i="78"/>
  <c r="X17" i="78"/>
  <c r="N17" i="78"/>
  <c r="L17" i="78"/>
  <c r="J17" i="78"/>
  <c r="B17" i="78"/>
  <c r="T16" i="78"/>
  <c r="Z16" i="78" s="1"/>
  <c r="P16" i="78"/>
  <c r="X16" i="78" s="1"/>
  <c r="N16" i="78"/>
  <c r="H16" i="78"/>
  <c r="L16" i="78" s="1"/>
  <c r="D16" i="78"/>
  <c r="X14" i="78"/>
  <c r="T14" i="78"/>
  <c r="P14" i="78"/>
  <c r="L14" i="78"/>
  <c r="H14" i="78"/>
  <c r="N14" i="78" s="1"/>
  <c r="D14" i="78"/>
  <c r="B14" i="78"/>
  <c r="Z13" i="78"/>
  <c r="X13" i="78"/>
  <c r="T13" i="78"/>
  <c r="T12" i="78" s="1"/>
  <c r="P13" i="78"/>
  <c r="N13" i="78"/>
  <c r="H13" i="78"/>
  <c r="H12" i="78" s="1"/>
  <c r="D13" i="78"/>
  <c r="L13" i="78" s="1"/>
  <c r="B13" i="78"/>
  <c r="P12" i="78"/>
  <c r="P20" i="78" s="1"/>
  <c r="D12" i="78"/>
  <c r="D6" i="78"/>
  <c r="D4" i="78"/>
  <c r="X97" i="77"/>
  <c r="Z97" i="77" s="1"/>
  <c r="L97" i="77"/>
  <c r="N97" i="77" s="1"/>
  <c r="X93" i="77"/>
  <c r="T93" i="77"/>
  <c r="Z93" i="77" s="1"/>
  <c r="P93" i="77"/>
  <c r="H93" i="77"/>
  <c r="N93" i="77" s="1"/>
  <c r="D93" i="77"/>
  <c r="X91" i="77"/>
  <c r="Z91" i="77" s="1"/>
  <c r="L91" i="77"/>
  <c r="N91" i="77" s="1"/>
  <c r="J91" i="77"/>
  <c r="B91" i="77"/>
  <c r="T90" i="77"/>
  <c r="P90" i="77"/>
  <c r="X90" i="77" s="1"/>
  <c r="Z90" i="77" s="1"/>
  <c r="H90" i="77"/>
  <c r="D90" i="77"/>
  <c r="L90" i="77" s="1"/>
  <c r="N90" i="77" s="1"/>
  <c r="B90" i="77"/>
  <c r="Z89" i="77"/>
  <c r="X89" i="77"/>
  <c r="N89" i="77"/>
  <c r="L89" i="77"/>
  <c r="B89" i="77"/>
  <c r="T88" i="77"/>
  <c r="P88" i="77"/>
  <c r="X88" i="77" s="1"/>
  <c r="Z88" i="77" s="1"/>
  <c r="N88" i="77"/>
  <c r="L88" i="77"/>
  <c r="H88" i="77"/>
  <c r="D88" i="77"/>
  <c r="B88" i="77"/>
  <c r="X87" i="77"/>
  <c r="Z87" i="77" s="1"/>
  <c r="L87" i="77"/>
  <c r="N87" i="77" s="1"/>
  <c r="B87" i="77"/>
  <c r="Z86" i="77"/>
  <c r="X86" i="77"/>
  <c r="T86" i="77"/>
  <c r="P86" i="77"/>
  <c r="H86" i="77"/>
  <c r="D86" i="77"/>
  <c r="B86" i="77"/>
  <c r="Z85" i="77"/>
  <c r="X85" i="77"/>
  <c r="N85" i="77"/>
  <c r="L85" i="77"/>
  <c r="B85" i="77"/>
  <c r="X84" i="77"/>
  <c r="Z84" i="77" s="1"/>
  <c r="N84" i="77"/>
  <c r="L84" i="77"/>
  <c r="B84" i="77"/>
  <c r="X83" i="77"/>
  <c r="Z83" i="77" s="1"/>
  <c r="N83" i="77"/>
  <c r="L83" i="77"/>
  <c r="B83" i="77"/>
  <c r="X82" i="77"/>
  <c r="Z82" i="77" s="1"/>
  <c r="N82" i="77"/>
  <c r="L82" i="77"/>
  <c r="B82" i="77"/>
  <c r="T81" i="77"/>
  <c r="X81" i="77" s="1"/>
  <c r="Z81" i="77" s="1"/>
  <c r="P81" i="77"/>
  <c r="L81" i="77"/>
  <c r="H81" i="77"/>
  <c r="N81" i="77" s="1"/>
  <c r="D81" i="77"/>
  <c r="B81" i="77"/>
  <c r="Z80" i="77"/>
  <c r="X80" i="77"/>
  <c r="N80" i="77"/>
  <c r="L80" i="77"/>
  <c r="B80" i="77"/>
  <c r="X79" i="77"/>
  <c r="T79" i="77"/>
  <c r="Z79" i="77" s="1"/>
  <c r="P79" i="77"/>
  <c r="H79" i="77"/>
  <c r="N79" i="77" s="1"/>
  <c r="D79" i="77"/>
  <c r="L79" i="77" s="1"/>
  <c r="B79" i="77"/>
  <c r="Z78" i="77"/>
  <c r="X78" i="77"/>
  <c r="N78" i="77"/>
  <c r="L78" i="77"/>
  <c r="B78" i="77"/>
  <c r="X77" i="77"/>
  <c r="Z77" i="77" s="1"/>
  <c r="N77" i="77"/>
  <c r="L77" i="77"/>
  <c r="B77" i="77"/>
  <c r="T76" i="77"/>
  <c r="P76" i="77"/>
  <c r="H76" i="77"/>
  <c r="D76" i="77"/>
  <c r="L76" i="77" s="1"/>
  <c r="N76" i="77" s="1"/>
  <c r="B76" i="77"/>
  <c r="Z75" i="77"/>
  <c r="X75" i="77"/>
  <c r="N75" i="77"/>
  <c r="L75" i="77"/>
  <c r="B75" i="77"/>
  <c r="Z74" i="77"/>
  <c r="X74" i="77"/>
  <c r="L74" i="77"/>
  <c r="N74" i="77" s="1"/>
  <c r="B74" i="77"/>
  <c r="T73" i="77"/>
  <c r="P73" i="77"/>
  <c r="X73" i="77" s="1"/>
  <c r="H73" i="77"/>
  <c r="D73" i="77"/>
  <c r="L73" i="77" s="1"/>
  <c r="N73" i="77" s="1"/>
  <c r="B73" i="77"/>
  <c r="Z72" i="77"/>
  <c r="X72" i="77"/>
  <c r="N72" i="77"/>
  <c r="L72" i="77"/>
  <c r="B72" i="77"/>
  <c r="T71" i="77"/>
  <c r="P71" i="77"/>
  <c r="X71" i="77" s="1"/>
  <c r="Z71" i="77" s="1"/>
  <c r="N71" i="77"/>
  <c r="H71" i="77"/>
  <c r="L71" i="77" s="1"/>
  <c r="D71" i="77"/>
  <c r="B71" i="77"/>
  <c r="X70" i="77"/>
  <c r="Z70" i="77" s="1"/>
  <c r="N70" i="77"/>
  <c r="L70" i="77"/>
  <c r="B70" i="77"/>
  <c r="T69" i="77"/>
  <c r="X69" i="77" s="1"/>
  <c r="Z69" i="77" s="1"/>
  <c r="P69" i="77"/>
  <c r="L69" i="77"/>
  <c r="H69" i="77"/>
  <c r="N69" i="77" s="1"/>
  <c r="D69" i="77"/>
  <c r="B69" i="77"/>
  <c r="Z68" i="77"/>
  <c r="X68" i="77"/>
  <c r="N68" i="77"/>
  <c r="L68" i="77"/>
  <c r="B68" i="77"/>
  <c r="X67" i="77"/>
  <c r="T67" i="77"/>
  <c r="P67" i="77"/>
  <c r="H67" i="77"/>
  <c r="D67" i="77"/>
  <c r="L67" i="77" s="1"/>
  <c r="B67" i="77"/>
  <c r="Z66" i="77"/>
  <c r="X66" i="77"/>
  <c r="N66" i="77"/>
  <c r="L66" i="77"/>
  <c r="B66" i="77"/>
  <c r="T65" i="77"/>
  <c r="P65" i="77"/>
  <c r="X65" i="77" s="1"/>
  <c r="L65" i="77"/>
  <c r="N65" i="77" s="1"/>
  <c r="H65" i="77"/>
  <c r="D65" i="77"/>
  <c r="B65" i="77"/>
  <c r="Z64" i="77"/>
  <c r="X64" i="77"/>
  <c r="N64" i="77"/>
  <c r="L64" i="77"/>
  <c r="B64" i="77"/>
  <c r="T63" i="77"/>
  <c r="P63" i="77"/>
  <c r="X63" i="77" s="1"/>
  <c r="Z63" i="77" s="1"/>
  <c r="N63" i="77"/>
  <c r="H63" i="77"/>
  <c r="L63" i="77" s="1"/>
  <c r="D63" i="77"/>
  <c r="B63" i="77"/>
  <c r="Z62" i="77"/>
  <c r="X62" i="77"/>
  <c r="N62" i="77"/>
  <c r="L62" i="77"/>
  <c r="B62" i="77"/>
  <c r="Z61" i="77"/>
  <c r="T61" i="77"/>
  <c r="X61" i="77" s="1"/>
  <c r="P61" i="77"/>
  <c r="H61" i="77"/>
  <c r="D61" i="77"/>
  <c r="L61" i="77" s="1"/>
  <c r="B61" i="77"/>
  <c r="Z60" i="77"/>
  <c r="X60" i="77"/>
  <c r="N60" i="77"/>
  <c r="L60" i="77"/>
  <c r="B60" i="77"/>
  <c r="X59" i="77"/>
  <c r="T59" i="77"/>
  <c r="Z59" i="77" s="1"/>
  <c r="P59" i="77"/>
  <c r="H59" i="77"/>
  <c r="N59" i="77" s="1"/>
  <c r="D59" i="77"/>
  <c r="L59" i="77" s="1"/>
  <c r="B59" i="77"/>
  <c r="Z58" i="77"/>
  <c r="X58" i="77"/>
  <c r="N58" i="77"/>
  <c r="L58" i="77"/>
  <c r="B58" i="77"/>
  <c r="X57" i="77"/>
  <c r="Z57" i="77" s="1"/>
  <c r="N57" i="77"/>
  <c r="L57" i="77"/>
  <c r="B57" i="77"/>
  <c r="Z56" i="77"/>
  <c r="X56" i="77"/>
  <c r="N56" i="77"/>
  <c r="L56" i="77"/>
  <c r="B56" i="77"/>
  <c r="X55" i="77"/>
  <c r="Z55" i="77" s="1"/>
  <c r="L55" i="77"/>
  <c r="N55" i="77" s="1"/>
  <c r="B55" i="77"/>
  <c r="Z54" i="77"/>
  <c r="X54" i="77"/>
  <c r="N54" i="77"/>
  <c r="L54" i="77"/>
  <c r="B54" i="77"/>
  <c r="T53" i="77"/>
  <c r="Z53" i="77" s="1"/>
  <c r="P53" i="77"/>
  <c r="X53" i="77" s="1"/>
  <c r="H53" i="77"/>
  <c r="D53" i="77"/>
  <c r="L53" i="77" s="1"/>
  <c r="N53" i="77" s="1"/>
  <c r="B53" i="77"/>
  <c r="Z52" i="77"/>
  <c r="X52" i="77"/>
  <c r="N52" i="77"/>
  <c r="L52" i="77"/>
  <c r="B52" i="77"/>
  <c r="Z51" i="77"/>
  <c r="X51" i="77"/>
  <c r="L51" i="77"/>
  <c r="N51" i="77" s="1"/>
  <c r="B51" i="77"/>
  <c r="X50" i="77"/>
  <c r="Z50" i="77" s="1"/>
  <c r="N50" i="77"/>
  <c r="L50" i="77"/>
  <c r="B50" i="77"/>
  <c r="Z49" i="77"/>
  <c r="X49" i="77"/>
  <c r="L49" i="77"/>
  <c r="N49" i="77" s="1"/>
  <c r="B49" i="77"/>
  <c r="Z48" i="77"/>
  <c r="X48" i="77"/>
  <c r="N48" i="77"/>
  <c r="L48" i="77"/>
  <c r="B48" i="77"/>
  <c r="X47" i="77"/>
  <c r="Z47" i="77" s="1"/>
  <c r="N47" i="77"/>
  <c r="L47" i="77"/>
  <c r="B47" i="77"/>
  <c r="Z46" i="77"/>
  <c r="X46" i="77"/>
  <c r="L46" i="77"/>
  <c r="N46" i="77" s="1"/>
  <c r="B46" i="77"/>
  <c r="X45" i="77"/>
  <c r="Z45" i="77" s="1"/>
  <c r="N45" i="77"/>
  <c r="L45" i="77"/>
  <c r="B45" i="77"/>
  <c r="Z44" i="77"/>
  <c r="X44" i="77"/>
  <c r="T44" i="77"/>
  <c r="P44" i="77"/>
  <c r="H44" i="77"/>
  <c r="N44" i="77" s="1"/>
  <c r="D44" i="77"/>
  <c r="L44" i="77" s="1"/>
  <c r="B44" i="77"/>
  <c r="T43" i="77"/>
  <c r="P43" i="77"/>
  <c r="H43" i="77"/>
  <c r="D43" i="77"/>
  <c r="L43" i="77" s="1"/>
  <c r="X39" i="77"/>
  <c r="Z39" i="77" s="1"/>
  <c r="N39" i="77"/>
  <c r="L39" i="77"/>
  <c r="B39" i="77"/>
  <c r="Z38" i="77"/>
  <c r="X38" i="77"/>
  <c r="N38" i="77"/>
  <c r="L38" i="77"/>
  <c r="B38" i="77"/>
  <c r="Z37" i="77"/>
  <c r="X37" i="77"/>
  <c r="N37" i="77"/>
  <c r="L37" i="77"/>
  <c r="B37" i="77"/>
  <c r="Z36" i="77"/>
  <c r="X36" i="77"/>
  <c r="N36" i="77"/>
  <c r="L36" i="77"/>
  <c r="B36" i="77"/>
  <c r="T35" i="77"/>
  <c r="P35" i="77"/>
  <c r="X35" i="77" s="1"/>
  <c r="Z35" i="77" s="1"/>
  <c r="L35" i="77"/>
  <c r="N35" i="77" s="1"/>
  <c r="H35" i="77"/>
  <c r="D35" i="77"/>
  <c r="T33" i="77"/>
  <c r="P33" i="77"/>
  <c r="X33" i="77" s="1"/>
  <c r="N33" i="77"/>
  <c r="H33" i="77"/>
  <c r="D33" i="77"/>
  <c r="L33" i="77" s="1"/>
  <c r="B33" i="77"/>
  <c r="T32" i="77"/>
  <c r="P32" i="77"/>
  <c r="H32" i="77"/>
  <c r="D32" i="77"/>
  <c r="B32" i="77"/>
  <c r="X31" i="77"/>
  <c r="T31" i="77"/>
  <c r="Z31" i="77" s="1"/>
  <c r="P31" i="77"/>
  <c r="H31" i="77"/>
  <c r="D31" i="77"/>
  <c r="L31" i="77" s="1"/>
  <c r="N31" i="77" s="1"/>
  <c r="B31" i="77"/>
  <c r="Z30" i="77"/>
  <c r="X30" i="77"/>
  <c r="T30" i="77"/>
  <c r="P30" i="77"/>
  <c r="H30" i="77"/>
  <c r="N30" i="77" s="1"/>
  <c r="D30" i="77"/>
  <c r="L30" i="77" s="1"/>
  <c r="B30" i="77"/>
  <c r="T29" i="77"/>
  <c r="P29" i="77"/>
  <c r="X29" i="77" s="1"/>
  <c r="Z29" i="77" s="1"/>
  <c r="H29" i="77"/>
  <c r="N29" i="77" s="1"/>
  <c r="D29" i="77"/>
  <c r="L29" i="77" s="1"/>
  <c r="B29" i="77"/>
  <c r="T28" i="77"/>
  <c r="P28" i="77"/>
  <c r="H28" i="77"/>
  <c r="D28" i="77"/>
  <c r="B28" i="77"/>
  <c r="Z27" i="77"/>
  <c r="T27" i="77"/>
  <c r="P27" i="77"/>
  <c r="X27" i="77" s="1"/>
  <c r="L27" i="77"/>
  <c r="H27" i="77"/>
  <c r="N27" i="77" s="1"/>
  <c r="D27" i="77"/>
  <c r="B27" i="77"/>
  <c r="T26" i="77"/>
  <c r="P26" i="77"/>
  <c r="X26" i="77" s="1"/>
  <c r="N26" i="77"/>
  <c r="L26" i="77"/>
  <c r="H26" i="77"/>
  <c r="D26" i="77"/>
  <c r="B26" i="77"/>
  <c r="T25" i="77"/>
  <c r="P25" i="77"/>
  <c r="X25" i="77" s="1"/>
  <c r="H25" i="77"/>
  <c r="D25" i="77"/>
  <c r="L25" i="77" s="1"/>
  <c r="N25" i="77" s="1"/>
  <c r="B25" i="77"/>
  <c r="T24" i="77"/>
  <c r="P24" i="77"/>
  <c r="H24" i="77"/>
  <c r="N24" i="77" s="1"/>
  <c r="D24" i="77"/>
  <c r="B24" i="77"/>
  <c r="X23" i="77"/>
  <c r="T23" i="77"/>
  <c r="P23" i="77"/>
  <c r="H23" i="77"/>
  <c r="D23" i="77"/>
  <c r="L23" i="77" s="1"/>
  <c r="N23" i="77" s="1"/>
  <c r="B23" i="77"/>
  <c r="Z22" i="77"/>
  <c r="X22" i="77"/>
  <c r="T22" i="77"/>
  <c r="P22" i="77"/>
  <c r="H22" i="77"/>
  <c r="N22" i="77" s="1"/>
  <c r="D22" i="77"/>
  <c r="L22" i="77" s="1"/>
  <c r="B22" i="77"/>
  <c r="T21" i="77"/>
  <c r="P21" i="77"/>
  <c r="X21" i="77" s="1"/>
  <c r="Z21" i="77" s="1"/>
  <c r="H21" i="77"/>
  <c r="D21" i="77"/>
  <c r="L21" i="77" s="1"/>
  <c r="B21" i="77"/>
  <c r="T20" i="77"/>
  <c r="P20" i="77"/>
  <c r="H20" i="77"/>
  <c r="D20" i="77"/>
  <c r="B20" i="77"/>
  <c r="T19" i="77"/>
  <c r="P19" i="77"/>
  <c r="X19" i="77" s="1"/>
  <c r="Z19" i="77" s="1"/>
  <c r="L19" i="77"/>
  <c r="H19" i="77"/>
  <c r="N19" i="77" s="1"/>
  <c r="D19" i="77"/>
  <c r="B19" i="77"/>
  <c r="T18" i="77"/>
  <c r="Z18" i="77" s="1"/>
  <c r="P18" i="77"/>
  <c r="X18" i="77" s="1"/>
  <c r="N18" i="77"/>
  <c r="L18" i="77"/>
  <c r="H18" i="77"/>
  <c r="D18" i="77"/>
  <c r="B18" i="77"/>
  <c r="T17" i="77"/>
  <c r="Z17" i="77" s="1"/>
  <c r="P17" i="77"/>
  <c r="X17" i="77" s="1"/>
  <c r="H17" i="77"/>
  <c r="D17" i="77"/>
  <c r="L17" i="77" s="1"/>
  <c r="N17" i="77" s="1"/>
  <c r="B17" i="77"/>
  <c r="T16" i="77"/>
  <c r="P16" i="77"/>
  <c r="X16" i="77" s="1"/>
  <c r="H16" i="77"/>
  <c r="D16" i="77"/>
  <c r="B16" i="77"/>
  <c r="X15" i="77"/>
  <c r="T15" i="77"/>
  <c r="P15" i="77"/>
  <c r="H15" i="77"/>
  <c r="D15" i="77"/>
  <c r="L15" i="77" s="1"/>
  <c r="N15" i="77" s="1"/>
  <c r="B15" i="77"/>
  <c r="Z14" i="77"/>
  <c r="X14" i="77"/>
  <c r="T14" i="77"/>
  <c r="P14" i="77"/>
  <c r="H14" i="77"/>
  <c r="N14" i="77" s="1"/>
  <c r="D14" i="77"/>
  <c r="L14" i="77" s="1"/>
  <c r="B14" i="77"/>
  <c r="T13" i="77"/>
  <c r="P13" i="77"/>
  <c r="X13" i="77" s="1"/>
  <c r="Z13" i="77" s="1"/>
  <c r="H13" i="77"/>
  <c r="N13" i="77" s="1"/>
  <c r="D13" i="77"/>
  <c r="B13" i="77"/>
  <c r="H12" i="77"/>
  <c r="D6" i="77"/>
  <c r="D4" i="77"/>
  <c r="Z71" i="76"/>
  <c r="X71" i="76"/>
  <c r="N71" i="76"/>
  <c r="L71" i="76"/>
  <c r="Z67" i="76"/>
  <c r="X67" i="76"/>
  <c r="T67" i="76"/>
  <c r="P67" i="76"/>
  <c r="H67" i="76"/>
  <c r="N67" i="76" s="1"/>
  <c r="D67" i="76"/>
  <c r="L67" i="76" s="1"/>
  <c r="Z65" i="76"/>
  <c r="X65" i="76"/>
  <c r="N65" i="76"/>
  <c r="L65" i="76"/>
  <c r="B65" i="76"/>
  <c r="T64" i="76"/>
  <c r="P64" i="76"/>
  <c r="H64" i="76"/>
  <c r="N64" i="76" s="1"/>
  <c r="D64" i="76"/>
  <c r="L64" i="76" s="1"/>
  <c r="B64" i="76"/>
  <c r="X63" i="76"/>
  <c r="Z63" i="76" s="1"/>
  <c r="N63" i="76"/>
  <c r="L63" i="76"/>
  <c r="B63" i="76"/>
  <c r="T62" i="76"/>
  <c r="P62" i="76"/>
  <c r="X62" i="76" s="1"/>
  <c r="H62" i="76"/>
  <c r="D62" i="76"/>
  <c r="L62" i="76" s="1"/>
  <c r="N62" i="76" s="1"/>
  <c r="B62" i="76"/>
  <c r="Z61" i="76"/>
  <c r="X61" i="76"/>
  <c r="N61" i="76"/>
  <c r="L61" i="76"/>
  <c r="B61" i="76"/>
  <c r="Z60" i="76"/>
  <c r="X60" i="76"/>
  <c r="N60" i="76"/>
  <c r="L60" i="76"/>
  <c r="F60" i="76"/>
  <c r="B60" i="76"/>
  <c r="X59" i="76"/>
  <c r="Z59" i="76" s="1"/>
  <c r="N59" i="76"/>
  <c r="L59" i="76"/>
  <c r="B59" i="76"/>
  <c r="X58" i="76"/>
  <c r="Z58" i="76" s="1"/>
  <c r="L58" i="76"/>
  <c r="N58" i="76" s="1"/>
  <c r="B58" i="76"/>
  <c r="T57" i="76"/>
  <c r="P57" i="76"/>
  <c r="X57" i="76" s="1"/>
  <c r="Z57" i="76" s="1"/>
  <c r="H57" i="76"/>
  <c r="D57" i="76"/>
  <c r="L57" i="76" s="1"/>
  <c r="N57" i="76" s="1"/>
  <c r="B57" i="76"/>
  <c r="Z56" i="76"/>
  <c r="X56" i="76"/>
  <c r="N56" i="76"/>
  <c r="L56" i="76"/>
  <c r="F56" i="76"/>
  <c r="B56" i="76"/>
  <c r="Z55" i="76"/>
  <c r="X55" i="76"/>
  <c r="N55" i="76"/>
  <c r="L55" i="76"/>
  <c r="B55" i="76"/>
  <c r="Z54" i="76"/>
  <c r="X54" i="76"/>
  <c r="N54" i="76"/>
  <c r="L54" i="76"/>
  <c r="B54" i="76"/>
  <c r="T53" i="76"/>
  <c r="Z53" i="76" s="1"/>
  <c r="P53" i="76"/>
  <c r="X53" i="76" s="1"/>
  <c r="N53" i="76"/>
  <c r="H53" i="76"/>
  <c r="D53" i="76"/>
  <c r="L53" i="76" s="1"/>
  <c r="B53" i="76"/>
  <c r="Z52" i="76"/>
  <c r="X52" i="76"/>
  <c r="N52" i="76"/>
  <c r="L52" i="76"/>
  <c r="F52" i="76"/>
  <c r="B52" i="76"/>
  <c r="X51" i="76"/>
  <c r="Z51" i="76" s="1"/>
  <c r="N51" i="76"/>
  <c r="L51" i="76"/>
  <c r="B51" i="76"/>
  <c r="T50" i="76"/>
  <c r="P50" i="76"/>
  <c r="X50" i="76" s="1"/>
  <c r="H50" i="76"/>
  <c r="D50" i="76"/>
  <c r="L50" i="76" s="1"/>
  <c r="N50" i="76" s="1"/>
  <c r="B50" i="76"/>
  <c r="Z49" i="76"/>
  <c r="X49" i="76"/>
  <c r="N49" i="76"/>
  <c r="L49" i="76"/>
  <c r="B49" i="76"/>
  <c r="T48" i="76"/>
  <c r="P48" i="76"/>
  <c r="X48" i="76" s="1"/>
  <c r="Z48" i="76" s="1"/>
  <c r="L48" i="76"/>
  <c r="N48" i="76" s="1"/>
  <c r="H48" i="76"/>
  <c r="D48" i="76"/>
  <c r="B48" i="76"/>
  <c r="Z47" i="76"/>
  <c r="X47" i="76"/>
  <c r="N47" i="76"/>
  <c r="L47" i="76"/>
  <c r="B47" i="76"/>
  <c r="X46" i="76"/>
  <c r="Z46" i="76" s="1"/>
  <c r="T46" i="76"/>
  <c r="P46" i="76"/>
  <c r="H46" i="76"/>
  <c r="D46" i="76"/>
  <c r="B46" i="76"/>
  <c r="Z45" i="76"/>
  <c r="X45" i="76"/>
  <c r="N45" i="76"/>
  <c r="L45" i="76"/>
  <c r="B45" i="76"/>
  <c r="T44" i="76"/>
  <c r="P44" i="76"/>
  <c r="H44" i="76"/>
  <c r="N44" i="76" s="1"/>
  <c r="D44" i="76"/>
  <c r="L44" i="76" s="1"/>
  <c r="B44" i="76"/>
  <c r="Z43" i="76"/>
  <c r="X43" i="76"/>
  <c r="N43" i="76"/>
  <c r="L43" i="76"/>
  <c r="F43" i="76"/>
  <c r="B43" i="76"/>
  <c r="X42" i="76"/>
  <c r="Z42" i="76" s="1"/>
  <c r="L42" i="76"/>
  <c r="N42" i="76" s="1"/>
  <c r="B42" i="76"/>
  <c r="T41" i="76"/>
  <c r="P41" i="76"/>
  <c r="X41" i="76" s="1"/>
  <c r="H41" i="76"/>
  <c r="D41" i="76"/>
  <c r="L41" i="76" s="1"/>
  <c r="N41" i="76" s="1"/>
  <c r="B41" i="76"/>
  <c r="Z40" i="76"/>
  <c r="X40" i="76"/>
  <c r="N40" i="76"/>
  <c r="L40" i="76"/>
  <c r="F40" i="76"/>
  <c r="B40" i="76"/>
  <c r="Z39" i="76"/>
  <c r="T39" i="76"/>
  <c r="P39" i="76"/>
  <c r="X39" i="76" s="1"/>
  <c r="N39" i="76"/>
  <c r="L39" i="76"/>
  <c r="H39" i="76"/>
  <c r="D39" i="76"/>
  <c r="B39" i="76"/>
  <c r="Z38" i="76"/>
  <c r="X38" i="76"/>
  <c r="N38" i="76"/>
  <c r="L38" i="76"/>
  <c r="B38" i="76"/>
  <c r="Z37" i="76"/>
  <c r="X37" i="76"/>
  <c r="T37" i="76"/>
  <c r="P37" i="76"/>
  <c r="H37" i="76"/>
  <c r="N37" i="76" s="1"/>
  <c r="D37" i="76"/>
  <c r="B37" i="76"/>
  <c r="Z36" i="76"/>
  <c r="X36" i="76"/>
  <c r="N36" i="76"/>
  <c r="L36" i="76"/>
  <c r="B36" i="76"/>
  <c r="T35" i="76"/>
  <c r="Z35" i="76" s="1"/>
  <c r="P35" i="76"/>
  <c r="H35" i="76"/>
  <c r="N35" i="76" s="1"/>
  <c r="F35" i="76"/>
  <c r="D35" i="76"/>
  <c r="L35" i="76" s="1"/>
  <c r="B35" i="76"/>
  <c r="Z34" i="76"/>
  <c r="X34" i="76"/>
  <c r="N34" i="76"/>
  <c r="L34" i="76"/>
  <c r="B34" i="76"/>
  <c r="Z33" i="76"/>
  <c r="X33" i="76"/>
  <c r="N33" i="76"/>
  <c r="L33" i="76"/>
  <c r="B33" i="76"/>
  <c r="X32" i="76"/>
  <c r="Z32" i="76" s="1"/>
  <c r="N32" i="76"/>
  <c r="L32" i="76"/>
  <c r="B32" i="76"/>
  <c r="T31" i="76"/>
  <c r="Z31" i="76" s="1"/>
  <c r="P31" i="76"/>
  <c r="X31" i="76" s="1"/>
  <c r="H31" i="76"/>
  <c r="N31" i="76" s="1"/>
  <c r="F31" i="76"/>
  <c r="D31" i="76"/>
  <c r="L31" i="76" s="1"/>
  <c r="B31" i="76"/>
  <c r="Z30" i="76"/>
  <c r="X30" i="76"/>
  <c r="N30" i="76"/>
  <c r="L30" i="76"/>
  <c r="B30" i="76"/>
  <c r="Z29" i="76"/>
  <c r="X29" i="76"/>
  <c r="N29" i="76"/>
  <c r="L29" i="76"/>
  <c r="B29" i="76"/>
  <c r="X28" i="76"/>
  <c r="Z28" i="76" s="1"/>
  <c r="N28" i="76"/>
  <c r="L28" i="76"/>
  <c r="B28" i="76"/>
  <c r="Z27" i="76"/>
  <c r="X27" i="76"/>
  <c r="N27" i="76"/>
  <c r="L27" i="76"/>
  <c r="B27" i="76"/>
  <c r="X26" i="76"/>
  <c r="Z26" i="76" s="1"/>
  <c r="N26" i="76"/>
  <c r="L26" i="76"/>
  <c r="B26" i="76"/>
  <c r="Z25" i="76"/>
  <c r="X25" i="76"/>
  <c r="N25" i="76"/>
  <c r="L25" i="76"/>
  <c r="B25" i="76"/>
  <c r="Z24" i="76"/>
  <c r="X24" i="76"/>
  <c r="N24" i="76"/>
  <c r="L24" i="76"/>
  <c r="F24" i="76"/>
  <c r="B24" i="76"/>
  <c r="T23" i="76"/>
  <c r="P23" i="76"/>
  <c r="X23" i="76" s="1"/>
  <c r="Z23" i="76" s="1"/>
  <c r="N23" i="76"/>
  <c r="L23" i="76"/>
  <c r="H23" i="76"/>
  <c r="D23" i="76"/>
  <c r="B23" i="76"/>
  <c r="X22" i="76"/>
  <c r="T22" i="76"/>
  <c r="Z22" i="76" s="1"/>
  <c r="P22" i="76"/>
  <c r="H22" i="76"/>
  <c r="F22" i="76"/>
  <c r="D22" i="76"/>
  <c r="Z18" i="76"/>
  <c r="X18" i="76"/>
  <c r="N18" i="76"/>
  <c r="L18" i="76"/>
  <c r="B18" i="76"/>
  <c r="Z17" i="76"/>
  <c r="X17" i="76"/>
  <c r="N17" i="76"/>
  <c r="L17" i="76"/>
  <c r="B17" i="76"/>
  <c r="Z16" i="76"/>
  <c r="X16" i="76"/>
  <c r="T16" i="76"/>
  <c r="P16" i="76"/>
  <c r="L16" i="76"/>
  <c r="H16" i="76"/>
  <c r="N16" i="76" s="1"/>
  <c r="D16" i="76"/>
  <c r="T14" i="76"/>
  <c r="Z14" i="76" s="1"/>
  <c r="P14" i="76"/>
  <c r="X14" i="76" s="1"/>
  <c r="N14" i="76"/>
  <c r="L14" i="76"/>
  <c r="H14" i="76"/>
  <c r="D14" i="76"/>
  <c r="B14" i="76"/>
  <c r="T13" i="76"/>
  <c r="P13" i="76"/>
  <c r="N13" i="76"/>
  <c r="H13" i="76"/>
  <c r="L13" i="76" s="1"/>
  <c r="D13" i="76"/>
  <c r="B13" i="76"/>
  <c r="D12" i="76"/>
  <c r="D6" i="76"/>
  <c r="D4" i="76"/>
  <c r="Z31" i="75"/>
  <c r="X31" i="75"/>
  <c r="L31" i="75"/>
  <c r="N31" i="75" s="1"/>
  <c r="T27" i="75"/>
  <c r="Z27" i="75" s="1"/>
  <c r="P27" i="75"/>
  <c r="X27" i="75" s="1"/>
  <c r="H27" i="75"/>
  <c r="N27" i="75" s="1"/>
  <c r="D27" i="75"/>
  <c r="L27" i="75" s="1"/>
  <c r="Z25" i="75"/>
  <c r="X25" i="75"/>
  <c r="T25" i="75"/>
  <c r="P25" i="75"/>
  <c r="L25" i="75"/>
  <c r="H25" i="75"/>
  <c r="N25" i="75" s="1"/>
  <c r="D25" i="75"/>
  <c r="Z21" i="75"/>
  <c r="X21" i="75"/>
  <c r="N21" i="75"/>
  <c r="L21" i="75"/>
  <c r="B21" i="75"/>
  <c r="Z20" i="75"/>
  <c r="X20" i="75"/>
  <c r="N20" i="75"/>
  <c r="L20" i="75"/>
  <c r="B20" i="75"/>
  <c r="Z19" i="75"/>
  <c r="X19" i="75"/>
  <c r="N19" i="75"/>
  <c r="L19" i="75"/>
  <c r="B19" i="75"/>
  <c r="T18" i="75"/>
  <c r="P18" i="75"/>
  <c r="X18" i="75" s="1"/>
  <c r="Z18" i="75" s="1"/>
  <c r="H18" i="75"/>
  <c r="D18" i="75"/>
  <c r="L18" i="75" s="1"/>
  <c r="N18" i="75" s="1"/>
  <c r="Z16" i="75"/>
  <c r="X16" i="75"/>
  <c r="T16" i="75"/>
  <c r="T12" i="75" s="1"/>
  <c r="P16" i="75"/>
  <c r="H16" i="75"/>
  <c r="D16" i="75"/>
  <c r="L16" i="75" s="1"/>
  <c r="B16" i="75"/>
  <c r="Z15" i="75"/>
  <c r="X15" i="75"/>
  <c r="T15" i="75"/>
  <c r="P15" i="75"/>
  <c r="H15" i="75"/>
  <c r="D15" i="75"/>
  <c r="L15" i="75" s="1"/>
  <c r="N15" i="75" s="1"/>
  <c r="B15" i="75"/>
  <c r="T14" i="75"/>
  <c r="P14" i="75"/>
  <c r="X14" i="75" s="1"/>
  <c r="Z14" i="75" s="1"/>
  <c r="H14" i="75"/>
  <c r="D14" i="75"/>
  <c r="B14" i="75"/>
  <c r="T13" i="75"/>
  <c r="Z13" i="75" s="1"/>
  <c r="P13" i="75"/>
  <c r="X13" i="75" s="1"/>
  <c r="L13" i="75"/>
  <c r="H13" i="75"/>
  <c r="H12" i="75" s="1"/>
  <c r="D13" i="75"/>
  <c r="D12" i="75" s="1"/>
  <c r="B13" i="75"/>
  <c r="D6" i="75"/>
  <c r="D4" i="75"/>
  <c r="V49" i="74"/>
  <c r="F49" i="74"/>
  <c r="Z44" i="74"/>
  <c r="X44" i="74"/>
  <c r="V44" i="74"/>
  <c r="N44" i="74"/>
  <c r="L44" i="74"/>
  <c r="V42" i="74"/>
  <c r="F42" i="74"/>
  <c r="Z40" i="74"/>
  <c r="T40" i="74"/>
  <c r="P40" i="74"/>
  <c r="X40" i="74" s="1"/>
  <c r="N40" i="74"/>
  <c r="L40" i="74"/>
  <c r="H40" i="74"/>
  <c r="D40" i="74"/>
  <c r="Z38" i="74"/>
  <c r="X38" i="74"/>
  <c r="V38" i="74"/>
  <c r="R38" i="74"/>
  <c r="N38" i="74"/>
  <c r="L38" i="74"/>
  <c r="B38" i="74"/>
  <c r="X37" i="74"/>
  <c r="T37" i="74"/>
  <c r="P37" i="74"/>
  <c r="H37" i="74"/>
  <c r="N37" i="74" s="1"/>
  <c r="D37" i="74"/>
  <c r="B37" i="74"/>
  <c r="Z36" i="74"/>
  <c r="X36" i="74"/>
  <c r="N36" i="74"/>
  <c r="L36" i="74"/>
  <c r="B36" i="74"/>
  <c r="T35" i="74"/>
  <c r="R35" i="74"/>
  <c r="P35" i="74"/>
  <c r="H35" i="74"/>
  <c r="D35" i="74"/>
  <c r="L35" i="74" s="1"/>
  <c r="B35" i="74"/>
  <c r="Z34" i="74"/>
  <c r="X34" i="74"/>
  <c r="N34" i="74"/>
  <c r="L34" i="74"/>
  <c r="B34" i="74"/>
  <c r="X33" i="74"/>
  <c r="Z33" i="74" s="1"/>
  <c r="N33" i="74"/>
  <c r="L33" i="74"/>
  <c r="B33" i="74"/>
  <c r="T32" i="74"/>
  <c r="R32" i="74"/>
  <c r="P32" i="74"/>
  <c r="X32" i="74" s="1"/>
  <c r="Z32" i="74" s="1"/>
  <c r="N32" i="74"/>
  <c r="L32" i="74"/>
  <c r="H32" i="74"/>
  <c r="D32" i="74"/>
  <c r="B32" i="74"/>
  <c r="Z31" i="74"/>
  <c r="X31" i="74"/>
  <c r="L31" i="74"/>
  <c r="N31" i="74" s="1"/>
  <c r="F31" i="74"/>
  <c r="B31" i="74"/>
  <c r="Z30" i="74"/>
  <c r="X30" i="74"/>
  <c r="T30" i="74"/>
  <c r="P30" i="74"/>
  <c r="N30" i="74"/>
  <c r="L30" i="74"/>
  <c r="H30" i="74"/>
  <c r="D30" i="74"/>
  <c r="B30" i="74"/>
  <c r="X29" i="74"/>
  <c r="Z29" i="74" s="1"/>
  <c r="V29" i="74"/>
  <c r="N29" i="74"/>
  <c r="L29" i="74"/>
  <c r="B29" i="74"/>
  <c r="Z28" i="74"/>
  <c r="X28" i="74"/>
  <c r="T28" i="74"/>
  <c r="P28" i="74"/>
  <c r="J28" i="74"/>
  <c r="H28" i="74"/>
  <c r="N28" i="74" s="1"/>
  <c r="D28" i="74"/>
  <c r="L28" i="74" s="1"/>
  <c r="B28" i="74"/>
  <c r="X27" i="74"/>
  <c r="Z27" i="74" s="1"/>
  <c r="R27" i="74"/>
  <c r="N27" i="74"/>
  <c r="L27" i="74"/>
  <c r="B27" i="74"/>
  <c r="V26" i="74"/>
  <c r="T26" i="74"/>
  <c r="Z26" i="74" s="1"/>
  <c r="P26" i="74"/>
  <c r="X26" i="74" s="1"/>
  <c r="N26" i="74"/>
  <c r="H26" i="74"/>
  <c r="F26" i="74"/>
  <c r="D26" i="74"/>
  <c r="L26" i="74" s="1"/>
  <c r="B26" i="74"/>
  <c r="Z25" i="74"/>
  <c r="X25" i="74"/>
  <c r="N25" i="74"/>
  <c r="L25" i="74"/>
  <c r="B25" i="74"/>
  <c r="X24" i="74"/>
  <c r="Z24" i="74" s="1"/>
  <c r="N24" i="74"/>
  <c r="L24" i="74"/>
  <c r="B24" i="74"/>
  <c r="Z23" i="74"/>
  <c r="X23" i="74"/>
  <c r="R23" i="74"/>
  <c r="N23" i="74"/>
  <c r="L23" i="74"/>
  <c r="B23" i="74"/>
  <c r="Z22" i="74"/>
  <c r="X22" i="74"/>
  <c r="V22" i="74"/>
  <c r="R22" i="74"/>
  <c r="N22" i="74"/>
  <c r="L22" i="74"/>
  <c r="B22" i="74"/>
  <c r="X21" i="74"/>
  <c r="Z21" i="74" s="1"/>
  <c r="V21" i="74"/>
  <c r="N21" i="74"/>
  <c r="L21" i="74"/>
  <c r="B21" i="74"/>
  <c r="Z20" i="74"/>
  <c r="X20" i="74"/>
  <c r="T20" i="74"/>
  <c r="P20" i="74"/>
  <c r="J20" i="74"/>
  <c r="H20" i="74"/>
  <c r="N20" i="74" s="1"/>
  <c r="D20" i="74"/>
  <c r="L20" i="74" s="1"/>
  <c r="B20" i="74"/>
  <c r="T19" i="74"/>
  <c r="R19" i="74"/>
  <c r="P19" i="74"/>
  <c r="X19" i="74" s="1"/>
  <c r="H19" i="74"/>
  <c r="D19" i="74"/>
  <c r="L19" i="74" s="1"/>
  <c r="X15" i="74"/>
  <c r="Z15" i="74" s="1"/>
  <c r="R15" i="74"/>
  <c r="N15" i="74"/>
  <c r="L15" i="74"/>
  <c r="B15" i="74"/>
  <c r="V14" i="74"/>
  <c r="T14" i="74"/>
  <c r="Z14" i="74" s="1"/>
  <c r="R14" i="74"/>
  <c r="P14" i="74"/>
  <c r="X14" i="74" s="1"/>
  <c r="N14" i="74"/>
  <c r="H14" i="74"/>
  <c r="F14" i="74"/>
  <c r="D14" i="74"/>
  <c r="L14" i="74" s="1"/>
  <c r="T12" i="74"/>
  <c r="V28" i="74" s="1"/>
  <c r="P12" i="74"/>
  <c r="R49" i="74" s="1"/>
  <c r="H12" i="74"/>
  <c r="D12" i="74"/>
  <c r="F33" i="74" s="1"/>
  <c r="D6" i="74"/>
  <c r="D4" i="74"/>
  <c r="Z63" i="73"/>
  <c r="X63" i="73"/>
  <c r="N63" i="73"/>
  <c r="L63" i="73"/>
  <c r="Z59" i="73"/>
  <c r="X59" i="73"/>
  <c r="T59" i="73"/>
  <c r="P59" i="73"/>
  <c r="J59" i="73"/>
  <c r="H59" i="73"/>
  <c r="N59" i="73" s="1"/>
  <c r="D59" i="73"/>
  <c r="Z57" i="73"/>
  <c r="X57" i="73"/>
  <c r="N57" i="73"/>
  <c r="L57" i="73"/>
  <c r="B57" i="73"/>
  <c r="T56" i="73"/>
  <c r="P56" i="73"/>
  <c r="H56" i="73"/>
  <c r="D56" i="73"/>
  <c r="L56" i="73" s="1"/>
  <c r="B56" i="73"/>
  <c r="Z55" i="73"/>
  <c r="X55" i="73"/>
  <c r="N55" i="73"/>
  <c r="L55" i="73"/>
  <c r="B55" i="73"/>
  <c r="T54" i="73"/>
  <c r="P54" i="73"/>
  <c r="X54" i="73" s="1"/>
  <c r="H54" i="73"/>
  <c r="L54" i="73" s="1"/>
  <c r="N54" i="73" s="1"/>
  <c r="D54" i="73"/>
  <c r="B54" i="73"/>
  <c r="Z53" i="73"/>
  <c r="X53" i="73"/>
  <c r="N53" i="73"/>
  <c r="L53" i="73"/>
  <c r="B53" i="73"/>
  <c r="Z52" i="73"/>
  <c r="X52" i="73"/>
  <c r="N52" i="73"/>
  <c r="L52" i="73"/>
  <c r="B52" i="73"/>
  <c r="Z51" i="73"/>
  <c r="X51" i="73"/>
  <c r="N51" i="73"/>
  <c r="L51" i="73"/>
  <c r="J51" i="73"/>
  <c r="B51" i="73"/>
  <c r="X50" i="73"/>
  <c r="Z50" i="73" s="1"/>
  <c r="N50" i="73"/>
  <c r="L50" i="73"/>
  <c r="B50" i="73"/>
  <c r="T49" i="73"/>
  <c r="P49" i="73"/>
  <c r="X49" i="73" s="1"/>
  <c r="Z49" i="73" s="1"/>
  <c r="N49" i="73"/>
  <c r="H49" i="73"/>
  <c r="D49" i="73"/>
  <c r="L49" i="73" s="1"/>
  <c r="B49" i="73"/>
  <c r="Z48" i="73"/>
  <c r="X48" i="73"/>
  <c r="N48" i="73"/>
  <c r="L48" i="73"/>
  <c r="B48" i="73"/>
  <c r="Z47" i="73"/>
  <c r="X47" i="73"/>
  <c r="L47" i="73"/>
  <c r="N47" i="73" s="1"/>
  <c r="B47" i="73"/>
  <c r="T46" i="73"/>
  <c r="Z46" i="73" s="1"/>
  <c r="P46" i="73"/>
  <c r="X46" i="73" s="1"/>
  <c r="N46" i="73"/>
  <c r="L46" i="73"/>
  <c r="H46" i="73"/>
  <c r="D46" i="73"/>
  <c r="B46" i="73"/>
  <c r="Z45" i="73"/>
  <c r="X45" i="73"/>
  <c r="N45" i="73"/>
  <c r="L45" i="73"/>
  <c r="B45" i="73"/>
  <c r="Z44" i="73"/>
  <c r="X44" i="73"/>
  <c r="L44" i="73"/>
  <c r="N44" i="73" s="1"/>
  <c r="B44" i="73"/>
  <c r="T43" i="73"/>
  <c r="P43" i="73"/>
  <c r="X43" i="73" s="1"/>
  <c r="Z43" i="73" s="1"/>
  <c r="N43" i="73"/>
  <c r="L43" i="73"/>
  <c r="H43" i="73"/>
  <c r="D43" i="73"/>
  <c r="B43" i="73"/>
  <c r="X42" i="73"/>
  <c r="Z42" i="73" s="1"/>
  <c r="N42" i="73"/>
  <c r="L42" i="73"/>
  <c r="B42" i="73"/>
  <c r="X41" i="73"/>
  <c r="Z41" i="73" s="1"/>
  <c r="T41" i="73"/>
  <c r="P41" i="73"/>
  <c r="H41" i="73"/>
  <c r="D41" i="73"/>
  <c r="B41" i="73"/>
  <c r="X40" i="73"/>
  <c r="Z40" i="73" s="1"/>
  <c r="N40" i="73"/>
  <c r="L40" i="73"/>
  <c r="B40" i="73"/>
  <c r="V39" i="73"/>
  <c r="T39" i="73"/>
  <c r="P39" i="73"/>
  <c r="H39" i="73"/>
  <c r="D39" i="73"/>
  <c r="L39" i="73" s="1"/>
  <c r="B39" i="73"/>
  <c r="X38" i="73"/>
  <c r="Z38" i="73" s="1"/>
  <c r="L38" i="73"/>
  <c r="N38" i="73" s="1"/>
  <c r="B38" i="73"/>
  <c r="T37" i="73"/>
  <c r="P37" i="73"/>
  <c r="X37" i="73" s="1"/>
  <c r="H37" i="73"/>
  <c r="D37" i="73"/>
  <c r="L37" i="73" s="1"/>
  <c r="N37" i="73" s="1"/>
  <c r="B37" i="73"/>
  <c r="Z36" i="73"/>
  <c r="X36" i="73"/>
  <c r="L36" i="73"/>
  <c r="N36" i="73" s="1"/>
  <c r="B36" i="73"/>
  <c r="T35" i="73"/>
  <c r="P35" i="73"/>
  <c r="X35" i="73" s="1"/>
  <c r="Z35" i="73" s="1"/>
  <c r="N35" i="73"/>
  <c r="L35" i="73"/>
  <c r="H35" i="73"/>
  <c r="D35" i="73"/>
  <c r="B35" i="73"/>
  <c r="X34" i="73"/>
  <c r="Z34" i="73" s="1"/>
  <c r="N34" i="73"/>
  <c r="L34" i="73"/>
  <c r="B34" i="73"/>
  <c r="X33" i="73"/>
  <c r="Z33" i="73" s="1"/>
  <c r="L33" i="73"/>
  <c r="N33" i="73" s="1"/>
  <c r="B33" i="73"/>
  <c r="Z32" i="73"/>
  <c r="X32" i="73"/>
  <c r="L32" i="73"/>
  <c r="N32" i="73" s="1"/>
  <c r="B32" i="73"/>
  <c r="T31" i="73"/>
  <c r="P31" i="73"/>
  <c r="X31" i="73" s="1"/>
  <c r="N31" i="73"/>
  <c r="L31" i="73"/>
  <c r="H31" i="73"/>
  <c r="D31" i="73"/>
  <c r="B31" i="73"/>
  <c r="X30" i="73"/>
  <c r="Z30" i="73" s="1"/>
  <c r="N30" i="73"/>
  <c r="L30" i="73"/>
  <c r="B30" i="73"/>
  <c r="X29" i="73"/>
  <c r="Z29" i="73" s="1"/>
  <c r="L29" i="73"/>
  <c r="N29" i="73" s="1"/>
  <c r="B29" i="73"/>
  <c r="Z28" i="73"/>
  <c r="X28" i="73"/>
  <c r="N28" i="73"/>
  <c r="L28" i="73"/>
  <c r="B28" i="73"/>
  <c r="Z27" i="73"/>
  <c r="X27" i="73"/>
  <c r="L27" i="73"/>
  <c r="N27" i="73" s="1"/>
  <c r="B27" i="73"/>
  <c r="Z26" i="73"/>
  <c r="X26" i="73"/>
  <c r="L26" i="73"/>
  <c r="N26" i="73" s="1"/>
  <c r="B26" i="73"/>
  <c r="X25" i="73"/>
  <c r="Z25" i="73" s="1"/>
  <c r="N25" i="73"/>
  <c r="L25" i="73"/>
  <c r="B25" i="73"/>
  <c r="X24" i="73"/>
  <c r="Z24" i="73" s="1"/>
  <c r="N24" i="73"/>
  <c r="L24" i="73"/>
  <c r="B24" i="73"/>
  <c r="X23" i="73"/>
  <c r="Z23" i="73" s="1"/>
  <c r="V23" i="73"/>
  <c r="N23" i="73"/>
  <c r="L23" i="73"/>
  <c r="B23" i="73"/>
  <c r="X22" i="73"/>
  <c r="Z22" i="73" s="1"/>
  <c r="V22" i="73"/>
  <c r="T22" i="73"/>
  <c r="P22" i="73"/>
  <c r="N22" i="73"/>
  <c r="H22" i="73"/>
  <c r="L22" i="73" s="1"/>
  <c r="D22" i="73"/>
  <c r="B22" i="73"/>
  <c r="X21" i="73"/>
  <c r="T21" i="73"/>
  <c r="P21" i="73"/>
  <c r="H21" i="73"/>
  <c r="D21" i="73"/>
  <c r="X17" i="73"/>
  <c r="Z17" i="73" s="1"/>
  <c r="N17" i="73"/>
  <c r="L17" i="73"/>
  <c r="B17" i="73"/>
  <c r="T16" i="73"/>
  <c r="P16" i="73"/>
  <c r="H16" i="73"/>
  <c r="N16" i="73" s="1"/>
  <c r="D16" i="73"/>
  <c r="L16" i="73" s="1"/>
  <c r="T14" i="73"/>
  <c r="P14" i="73"/>
  <c r="X14" i="73" s="1"/>
  <c r="Z14" i="73" s="1"/>
  <c r="N14" i="73"/>
  <c r="H14" i="73"/>
  <c r="D14" i="73"/>
  <c r="L14" i="73" s="1"/>
  <c r="B14" i="73"/>
  <c r="T13" i="73"/>
  <c r="P13" i="73"/>
  <c r="H13" i="73"/>
  <c r="D13" i="73"/>
  <c r="B13" i="73"/>
  <c r="T12" i="73"/>
  <c r="H12" i="73"/>
  <c r="D6" i="73"/>
  <c r="D4" i="73"/>
  <c r="Z94" i="71"/>
  <c r="X94" i="71"/>
  <c r="N94" i="71"/>
  <c r="L94" i="71"/>
  <c r="Z90" i="71"/>
  <c r="T90" i="71"/>
  <c r="P90" i="71"/>
  <c r="X90" i="71" s="1"/>
  <c r="L90" i="71"/>
  <c r="N90" i="71" s="1"/>
  <c r="H90" i="71"/>
  <c r="D90" i="71"/>
  <c r="B90" i="71"/>
  <c r="T89" i="71"/>
  <c r="P89" i="71"/>
  <c r="H89" i="71"/>
  <c r="N89" i="71" s="1"/>
  <c r="D89" i="71"/>
  <c r="L89" i="71" s="1"/>
  <c r="B89" i="71"/>
  <c r="T88" i="71"/>
  <c r="P88" i="71"/>
  <c r="X88" i="71" s="1"/>
  <c r="H88" i="71"/>
  <c r="D88" i="71"/>
  <c r="L88" i="71" s="1"/>
  <c r="N88" i="71" s="1"/>
  <c r="B88" i="71"/>
  <c r="P87" i="71"/>
  <c r="H87" i="71"/>
  <c r="X85" i="71"/>
  <c r="Z85" i="71" s="1"/>
  <c r="L85" i="71"/>
  <c r="N85" i="71" s="1"/>
  <c r="B85" i="71"/>
  <c r="T84" i="71"/>
  <c r="X84" i="71" s="1"/>
  <c r="P84" i="71"/>
  <c r="H84" i="71"/>
  <c r="D84" i="71"/>
  <c r="L84" i="71" s="1"/>
  <c r="B84" i="71"/>
  <c r="Z83" i="71"/>
  <c r="X83" i="71"/>
  <c r="N83" i="71"/>
  <c r="L83" i="71"/>
  <c r="B83" i="71"/>
  <c r="X82" i="71"/>
  <c r="Z82" i="71" s="1"/>
  <c r="L82" i="71"/>
  <c r="N82" i="71" s="1"/>
  <c r="B82" i="71"/>
  <c r="X81" i="71"/>
  <c r="Z81" i="71" s="1"/>
  <c r="N81" i="71"/>
  <c r="L81" i="71"/>
  <c r="B81" i="71"/>
  <c r="Z80" i="71"/>
  <c r="T80" i="71"/>
  <c r="X80" i="71" s="1"/>
  <c r="P80" i="71"/>
  <c r="H80" i="71"/>
  <c r="N80" i="71" s="1"/>
  <c r="D80" i="71"/>
  <c r="L80" i="71" s="1"/>
  <c r="B80" i="71"/>
  <c r="Z79" i="71"/>
  <c r="X79" i="71"/>
  <c r="N79" i="71"/>
  <c r="L79" i="71"/>
  <c r="B79" i="71"/>
  <c r="T78" i="71"/>
  <c r="P78" i="71"/>
  <c r="X78" i="71" s="1"/>
  <c r="H78" i="71"/>
  <c r="D78" i="71"/>
  <c r="L78" i="71" s="1"/>
  <c r="N78" i="71" s="1"/>
  <c r="B78" i="71"/>
  <c r="Z77" i="71"/>
  <c r="X77" i="71"/>
  <c r="N77" i="71"/>
  <c r="L77" i="71"/>
  <c r="B77" i="71"/>
  <c r="Z76" i="71"/>
  <c r="T76" i="71"/>
  <c r="P76" i="71"/>
  <c r="X76" i="71" s="1"/>
  <c r="N76" i="71"/>
  <c r="L76" i="71"/>
  <c r="H76" i="71"/>
  <c r="D76" i="71"/>
  <c r="B76" i="71"/>
  <c r="Z75" i="71"/>
  <c r="X75" i="71"/>
  <c r="N75" i="71"/>
  <c r="L75" i="71"/>
  <c r="B75" i="71"/>
  <c r="X74" i="71"/>
  <c r="Z74" i="71" s="1"/>
  <c r="L74" i="71"/>
  <c r="N74" i="71" s="1"/>
  <c r="B74" i="71"/>
  <c r="X73" i="71"/>
  <c r="Z73" i="71" s="1"/>
  <c r="T73" i="71"/>
  <c r="P73" i="71"/>
  <c r="H73" i="71"/>
  <c r="D73" i="71"/>
  <c r="B73" i="71"/>
  <c r="Z72" i="71"/>
  <c r="X72" i="71"/>
  <c r="N72" i="71"/>
  <c r="L72" i="71"/>
  <c r="B72" i="71"/>
  <c r="T71" i="71"/>
  <c r="P71" i="71"/>
  <c r="L71" i="71"/>
  <c r="H71" i="71"/>
  <c r="N71" i="71" s="1"/>
  <c r="D71" i="71"/>
  <c r="B71" i="71"/>
  <c r="X70" i="71"/>
  <c r="Z70" i="71" s="1"/>
  <c r="L70" i="71"/>
  <c r="N70" i="71" s="1"/>
  <c r="B70" i="71"/>
  <c r="T69" i="71"/>
  <c r="P69" i="71"/>
  <c r="X69" i="71" s="1"/>
  <c r="H69" i="71"/>
  <c r="D69" i="71"/>
  <c r="L69" i="71" s="1"/>
  <c r="B69" i="71"/>
  <c r="Z68" i="71"/>
  <c r="X68" i="71"/>
  <c r="N68" i="71"/>
  <c r="L68" i="71"/>
  <c r="B68" i="71"/>
  <c r="T67" i="71"/>
  <c r="P67" i="71"/>
  <c r="N67" i="71"/>
  <c r="L67" i="71"/>
  <c r="H67" i="71"/>
  <c r="D67" i="71"/>
  <c r="B67" i="71"/>
  <c r="Z66" i="71"/>
  <c r="X66" i="71"/>
  <c r="N66" i="71"/>
  <c r="L66" i="71"/>
  <c r="B66" i="71"/>
  <c r="Z65" i="71"/>
  <c r="X65" i="71"/>
  <c r="L65" i="71"/>
  <c r="N65" i="71" s="1"/>
  <c r="B65" i="71"/>
  <c r="Z64" i="71"/>
  <c r="X64" i="71"/>
  <c r="N64" i="71"/>
  <c r="L64" i="71"/>
  <c r="B64" i="71"/>
  <c r="Z63" i="71"/>
  <c r="X63" i="71"/>
  <c r="N63" i="71"/>
  <c r="L63" i="71"/>
  <c r="B63" i="71"/>
  <c r="Z62" i="71"/>
  <c r="X62" i="71"/>
  <c r="L62" i="71"/>
  <c r="N62" i="71" s="1"/>
  <c r="B62" i="71"/>
  <c r="X61" i="71"/>
  <c r="T61" i="71"/>
  <c r="P61" i="71"/>
  <c r="H61" i="71"/>
  <c r="D61" i="71"/>
  <c r="L61" i="71" s="1"/>
  <c r="B61" i="71"/>
  <c r="Z60" i="71"/>
  <c r="X60" i="71"/>
  <c r="N60" i="71"/>
  <c r="L60" i="71"/>
  <c r="B60" i="71"/>
  <c r="X59" i="71"/>
  <c r="Z59" i="71" s="1"/>
  <c r="L59" i="71"/>
  <c r="N59" i="71" s="1"/>
  <c r="B59" i="71"/>
  <c r="Z58" i="71"/>
  <c r="X58" i="71"/>
  <c r="L58" i="71"/>
  <c r="N58" i="71" s="1"/>
  <c r="B58" i="71"/>
  <c r="X57" i="71"/>
  <c r="Z57" i="71" s="1"/>
  <c r="L57" i="71"/>
  <c r="N57" i="71" s="1"/>
  <c r="B57" i="71"/>
  <c r="Z56" i="71"/>
  <c r="X56" i="71"/>
  <c r="N56" i="71"/>
  <c r="L56" i="71"/>
  <c r="B56" i="71"/>
  <c r="X55" i="71"/>
  <c r="Z55" i="71" s="1"/>
  <c r="N55" i="71"/>
  <c r="L55" i="71"/>
  <c r="B55" i="71"/>
  <c r="X54" i="71"/>
  <c r="Z54" i="71" s="1"/>
  <c r="N54" i="71"/>
  <c r="L54" i="71"/>
  <c r="B54" i="71"/>
  <c r="Z53" i="71"/>
  <c r="X53" i="71"/>
  <c r="L53" i="71"/>
  <c r="N53" i="71" s="1"/>
  <c r="B53" i="71"/>
  <c r="Z52" i="71"/>
  <c r="X52" i="71"/>
  <c r="N52" i="71"/>
  <c r="L52" i="71"/>
  <c r="B52" i="71"/>
  <c r="T51" i="71"/>
  <c r="P51" i="71"/>
  <c r="L51" i="71"/>
  <c r="N51" i="71" s="1"/>
  <c r="H51" i="71"/>
  <c r="D51" i="71"/>
  <c r="B51" i="71"/>
  <c r="X50" i="71"/>
  <c r="Z50" i="71" s="1"/>
  <c r="T50" i="71"/>
  <c r="P50" i="71"/>
  <c r="H50" i="71"/>
  <c r="L50" i="71" s="1"/>
  <c r="D50" i="71"/>
  <c r="X46" i="71"/>
  <c r="Z46" i="71" s="1"/>
  <c r="N46" i="71"/>
  <c r="L46" i="71"/>
  <c r="B46" i="71"/>
  <c r="Z45" i="71"/>
  <c r="X45" i="71"/>
  <c r="L45" i="71"/>
  <c r="N45" i="71" s="1"/>
  <c r="B45" i="71"/>
  <c r="Z44" i="71"/>
  <c r="X44" i="71"/>
  <c r="N44" i="71"/>
  <c r="L44" i="71"/>
  <c r="B44" i="71"/>
  <c r="Z43" i="71"/>
  <c r="X43" i="71"/>
  <c r="N43" i="71"/>
  <c r="L43" i="71"/>
  <c r="B43" i="71"/>
  <c r="X42" i="71"/>
  <c r="Z42" i="71" s="1"/>
  <c r="L42" i="71"/>
  <c r="N42" i="71" s="1"/>
  <c r="B42" i="71"/>
  <c r="X41" i="71"/>
  <c r="Z41" i="71" s="1"/>
  <c r="N41" i="71"/>
  <c r="L41" i="71"/>
  <c r="B41" i="71"/>
  <c r="Z40" i="71"/>
  <c r="X40" i="71"/>
  <c r="N40" i="71"/>
  <c r="L40" i="71"/>
  <c r="B40" i="71"/>
  <c r="X39" i="71"/>
  <c r="Z39" i="71" s="1"/>
  <c r="N39" i="71"/>
  <c r="L39" i="71"/>
  <c r="B39" i="71"/>
  <c r="X38" i="71"/>
  <c r="Z38" i="71" s="1"/>
  <c r="L38" i="71"/>
  <c r="N38" i="71" s="1"/>
  <c r="B38" i="71"/>
  <c r="Z37" i="71"/>
  <c r="X37" i="71"/>
  <c r="L37" i="71"/>
  <c r="N37" i="71" s="1"/>
  <c r="B37" i="71"/>
  <c r="Z36" i="71"/>
  <c r="X36" i="71"/>
  <c r="N36" i="71"/>
  <c r="L36" i="71"/>
  <c r="B36" i="71"/>
  <c r="Z35" i="71"/>
  <c r="X35" i="71"/>
  <c r="N35" i="71"/>
  <c r="L35" i="71"/>
  <c r="B35" i="71"/>
  <c r="T34" i="71"/>
  <c r="Z34" i="71" s="1"/>
  <c r="P34" i="71"/>
  <c r="X34" i="71" s="1"/>
  <c r="H34" i="71"/>
  <c r="D34" i="71"/>
  <c r="L34" i="71" s="1"/>
  <c r="N34" i="71" s="1"/>
  <c r="T32" i="71"/>
  <c r="P32" i="71"/>
  <c r="H32" i="71"/>
  <c r="D32" i="71"/>
  <c r="L32" i="71" s="1"/>
  <c r="B32" i="71"/>
  <c r="Z31" i="71"/>
  <c r="X31" i="71"/>
  <c r="T31" i="71"/>
  <c r="P31" i="71"/>
  <c r="L31" i="71"/>
  <c r="H31" i="71"/>
  <c r="N31" i="71" s="1"/>
  <c r="D31" i="71"/>
  <c r="B31" i="71"/>
  <c r="Z30" i="71"/>
  <c r="X30" i="71"/>
  <c r="T30" i="71"/>
  <c r="P30" i="71"/>
  <c r="N30" i="71"/>
  <c r="H30" i="71"/>
  <c r="D30" i="71"/>
  <c r="L30" i="71" s="1"/>
  <c r="B30" i="71"/>
  <c r="T29" i="71"/>
  <c r="P29" i="71"/>
  <c r="X29" i="71" s="1"/>
  <c r="Z29" i="71" s="1"/>
  <c r="H29" i="71"/>
  <c r="D29" i="71"/>
  <c r="L29" i="71" s="1"/>
  <c r="B29" i="71"/>
  <c r="T28" i="71"/>
  <c r="P28" i="71"/>
  <c r="X28" i="71" s="1"/>
  <c r="L28" i="71"/>
  <c r="H28" i="71"/>
  <c r="D28" i="71"/>
  <c r="B28" i="71"/>
  <c r="X27" i="71"/>
  <c r="T27" i="71"/>
  <c r="P27" i="71"/>
  <c r="L27" i="71"/>
  <c r="N27" i="71" s="1"/>
  <c r="H27" i="71"/>
  <c r="D27" i="71"/>
  <c r="B27" i="71"/>
  <c r="Z26" i="71"/>
  <c r="T26" i="71"/>
  <c r="P26" i="71"/>
  <c r="X26" i="71" s="1"/>
  <c r="N26" i="71"/>
  <c r="L26" i="71"/>
  <c r="H26" i="71"/>
  <c r="D26" i="71"/>
  <c r="B26" i="71"/>
  <c r="T25" i="71"/>
  <c r="Z25" i="71" s="1"/>
  <c r="P25" i="71"/>
  <c r="X25" i="71" s="1"/>
  <c r="N25" i="71"/>
  <c r="H25" i="71"/>
  <c r="D25" i="71"/>
  <c r="L25" i="71" s="1"/>
  <c r="B25" i="71"/>
  <c r="X24" i="71"/>
  <c r="T24" i="71"/>
  <c r="P24" i="71"/>
  <c r="H24" i="71"/>
  <c r="D24" i="71"/>
  <c r="B24" i="71"/>
  <c r="Z23" i="71"/>
  <c r="X23" i="71"/>
  <c r="T23" i="71"/>
  <c r="P23" i="71"/>
  <c r="L23" i="71"/>
  <c r="H23" i="71"/>
  <c r="N23" i="71" s="1"/>
  <c r="D23" i="71"/>
  <c r="B23" i="71"/>
  <c r="Z22" i="71"/>
  <c r="X22" i="71"/>
  <c r="T22" i="71"/>
  <c r="P22" i="71"/>
  <c r="N22" i="71"/>
  <c r="H22" i="71"/>
  <c r="D22" i="71"/>
  <c r="L22" i="71" s="1"/>
  <c r="B22" i="71"/>
  <c r="T21" i="71"/>
  <c r="P21" i="71"/>
  <c r="X21" i="71" s="1"/>
  <c r="Z21" i="71" s="1"/>
  <c r="H21" i="71"/>
  <c r="D21" i="71"/>
  <c r="B21" i="71"/>
  <c r="T20" i="71"/>
  <c r="P20" i="71"/>
  <c r="H20" i="71"/>
  <c r="D20" i="71"/>
  <c r="B20" i="71"/>
  <c r="X19" i="71"/>
  <c r="T19" i="71"/>
  <c r="Z19" i="71" s="1"/>
  <c r="P19" i="71"/>
  <c r="N19" i="71"/>
  <c r="L19" i="71"/>
  <c r="H19" i="71"/>
  <c r="D19" i="71"/>
  <c r="B19" i="71"/>
  <c r="T18" i="71"/>
  <c r="P18" i="71"/>
  <c r="X18" i="71" s="1"/>
  <c r="Z18" i="71" s="1"/>
  <c r="N18" i="71"/>
  <c r="L18" i="71"/>
  <c r="H18" i="71"/>
  <c r="D18" i="71"/>
  <c r="B18" i="71"/>
  <c r="T17" i="71"/>
  <c r="P17" i="71"/>
  <c r="X17" i="71" s="1"/>
  <c r="H17" i="71"/>
  <c r="D17" i="71"/>
  <c r="L17" i="71" s="1"/>
  <c r="N17" i="71" s="1"/>
  <c r="B17" i="71"/>
  <c r="X16" i="71"/>
  <c r="T16" i="71"/>
  <c r="P16" i="71"/>
  <c r="H16" i="71"/>
  <c r="D16" i="71"/>
  <c r="L16" i="71" s="1"/>
  <c r="B16" i="71"/>
  <c r="X15" i="71"/>
  <c r="Z15" i="71" s="1"/>
  <c r="T15" i="71"/>
  <c r="P15" i="71"/>
  <c r="L15" i="71"/>
  <c r="H15" i="71"/>
  <c r="D15" i="71"/>
  <c r="B15" i="71"/>
  <c r="Z14" i="71"/>
  <c r="X14" i="71"/>
  <c r="T14" i="71"/>
  <c r="P14" i="71"/>
  <c r="H14" i="71"/>
  <c r="D14" i="71"/>
  <c r="L14" i="71" s="1"/>
  <c r="N14" i="71" s="1"/>
  <c r="B14" i="71"/>
  <c r="T13" i="71"/>
  <c r="P13" i="71"/>
  <c r="H13" i="71"/>
  <c r="D13" i="71"/>
  <c r="B13" i="71"/>
  <c r="D6" i="71"/>
  <c r="D4" i="71"/>
  <c r="Z75" i="70"/>
  <c r="X75" i="70"/>
  <c r="N75" i="70"/>
  <c r="L75" i="70"/>
  <c r="Z71" i="70"/>
  <c r="T71" i="70"/>
  <c r="P71" i="70"/>
  <c r="X71" i="70" s="1"/>
  <c r="L71" i="70"/>
  <c r="N71" i="70" s="1"/>
  <c r="H71" i="70"/>
  <c r="D71" i="70"/>
  <c r="B71" i="70"/>
  <c r="T70" i="70"/>
  <c r="L70" i="70"/>
  <c r="H70" i="70"/>
  <c r="N70" i="70" s="1"/>
  <c r="D70" i="70"/>
  <c r="Z68" i="70"/>
  <c r="X68" i="70"/>
  <c r="N68" i="70"/>
  <c r="L68" i="70"/>
  <c r="B68" i="70"/>
  <c r="T67" i="70"/>
  <c r="P67" i="70"/>
  <c r="X67" i="70" s="1"/>
  <c r="N67" i="70"/>
  <c r="H67" i="70"/>
  <c r="D67" i="70"/>
  <c r="L67" i="70" s="1"/>
  <c r="B67" i="70"/>
  <c r="Z66" i="70"/>
  <c r="X66" i="70"/>
  <c r="L66" i="70"/>
  <c r="N66" i="70" s="1"/>
  <c r="B66" i="70"/>
  <c r="Z65" i="70"/>
  <c r="T65" i="70"/>
  <c r="P65" i="70"/>
  <c r="X65" i="70" s="1"/>
  <c r="L65" i="70"/>
  <c r="N65" i="70" s="1"/>
  <c r="H65" i="70"/>
  <c r="D65" i="70"/>
  <c r="B65" i="70"/>
  <c r="X64" i="70"/>
  <c r="Z64" i="70" s="1"/>
  <c r="N64" i="70"/>
  <c r="L64" i="70"/>
  <c r="B64" i="70"/>
  <c r="X63" i="70"/>
  <c r="Z63" i="70" s="1"/>
  <c r="L63" i="70"/>
  <c r="N63" i="70" s="1"/>
  <c r="B63" i="70"/>
  <c r="X62" i="70"/>
  <c r="Z62" i="70" s="1"/>
  <c r="N62" i="70"/>
  <c r="L62" i="70"/>
  <c r="B62" i="70"/>
  <c r="Z61" i="70"/>
  <c r="X61" i="70"/>
  <c r="N61" i="70"/>
  <c r="L61" i="70"/>
  <c r="B61" i="70"/>
  <c r="Z60" i="70"/>
  <c r="X60" i="70"/>
  <c r="N60" i="70"/>
  <c r="L60" i="70"/>
  <c r="B60" i="70"/>
  <c r="T59" i="70"/>
  <c r="P59" i="70"/>
  <c r="X59" i="70" s="1"/>
  <c r="H59" i="70"/>
  <c r="D59" i="70"/>
  <c r="L59" i="70" s="1"/>
  <c r="N59" i="70" s="1"/>
  <c r="B59" i="70"/>
  <c r="Z58" i="70"/>
  <c r="X58" i="70"/>
  <c r="L58" i="70"/>
  <c r="N58" i="70" s="1"/>
  <c r="B58" i="70"/>
  <c r="T57" i="70"/>
  <c r="P57" i="70"/>
  <c r="X57" i="70" s="1"/>
  <c r="Z57" i="70" s="1"/>
  <c r="L57" i="70"/>
  <c r="N57" i="70" s="1"/>
  <c r="H57" i="70"/>
  <c r="D57" i="70"/>
  <c r="B57" i="70"/>
  <c r="Z56" i="70"/>
  <c r="X56" i="70"/>
  <c r="N56" i="70"/>
  <c r="L56" i="70"/>
  <c r="B56" i="70"/>
  <c r="X55" i="70"/>
  <c r="Z55" i="70" s="1"/>
  <c r="L55" i="70"/>
  <c r="N55" i="70" s="1"/>
  <c r="B55" i="70"/>
  <c r="T54" i="70"/>
  <c r="P54" i="70"/>
  <c r="X54" i="70" s="1"/>
  <c r="Z54" i="70" s="1"/>
  <c r="H54" i="70"/>
  <c r="D54" i="70"/>
  <c r="B54" i="70"/>
  <c r="Z53" i="70"/>
  <c r="X53" i="70"/>
  <c r="N53" i="70"/>
  <c r="L53" i="70"/>
  <c r="B53" i="70"/>
  <c r="T52" i="70"/>
  <c r="P52" i="70"/>
  <c r="H52" i="70"/>
  <c r="N52" i="70" s="1"/>
  <c r="D52" i="70"/>
  <c r="L52" i="70" s="1"/>
  <c r="B52" i="70"/>
  <c r="X51" i="70"/>
  <c r="Z51" i="70" s="1"/>
  <c r="L51" i="70"/>
  <c r="N51" i="70" s="1"/>
  <c r="B51" i="70"/>
  <c r="X50" i="70"/>
  <c r="Z50" i="70" s="1"/>
  <c r="N50" i="70"/>
  <c r="L50" i="70"/>
  <c r="B50" i="70"/>
  <c r="T49" i="70"/>
  <c r="X49" i="70" s="1"/>
  <c r="P49" i="70"/>
  <c r="H49" i="70"/>
  <c r="D49" i="70"/>
  <c r="L49" i="70" s="1"/>
  <c r="B49" i="70"/>
  <c r="Z48" i="70"/>
  <c r="X48" i="70"/>
  <c r="L48" i="70"/>
  <c r="N48" i="70" s="1"/>
  <c r="B48" i="70"/>
  <c r="T47" i="70"/>
  <c r="P47" i="70"/>
  <c r="X47" i="70" s="1"/>
  <c r="H47" i="70"/>
  <c r="D47" i="70"/>
  <c r="L47" i="70" s="1"/>
  <c r="N47" i="70" s="1"/>
  <c r="B47" i="70"/>
  <c r="Z46" i="70"/>
  <c r="X46" i="70"/>
  <c r="N46" i="70"/>
  <c r="L46" i="70"/>
  <c r="B46" i="70"/>
  <c r="Z45" i="70"/>
  <c r="T45" i="70"/>
  <c r="P45" i="70"/>
  <c r="X45" i="70" s="1"/>
  <c r="N45" i="70"/>
  <c r="L45" i="70"/>
  <c r="H45" i="70"/>
  <c r="D45" i="70"/>
  <c r="B45" i="70"/>
  <c r="X44" i="70"/>
  <c r="Z44" i="70" s="1"/>
  <c r="N44" i="70"/>
  <c r="L44" i="70"/>
  <c r="B44" i="70"/>
  <c r="X43" i="70"/>
  <c r="Z43" i="70" s="1"/>
  <c r="T43" i="70"/>
  <c r="P43" i="70"/>
  <c r="N43" i="70"/>
  <c r="H43" i="70"/>
  <c r="L43" i="70" s="1"/>
  <c r="D43" i="70"/>
  <c r="B43" i="70"/>
  <c r="X42" i="70"/>
  <c r="Z42" i="70" s="1"/>
  <c r="N42" i="70"/>
  <c r="L42" i="70"/>
  <c r="B42" i="70"/>
  <c r="Z41" i="70"/>
  <c r="X41" i="70"/>
  <c r="N41" i="70"/>
  <c r="L41" i="70"/>
  <c r="B41" i="70"/>
  <c r="X40" i="70"/>
  <c r="Z40" i="70" s="1"/>
  <c r="N40" i="70"/>
  <c r="L40" i="70"/>
  <c r="B40" i="70"/>
  <c r="X39" i="70"/>
  <c r="Z39" i="70" s="1"/>
  <c r="T39" i="70"/>
  <c r="P39" i="70"/>
  <c r="N39" i="70"/>
  <c r="H39" i="70"/>
  <c r="L39" i="70" s="1"/>
  <c r="D39" i="70"/>
  <c r="B39" i="70"/>
  <c r="X38" i="70"/>
  <c r="Z38" i="70" s="1"/>
  <c r="N38" i="70"/>
  <c r="L38" i="70"/>
  <c r="B38" i="70"/>
  <c r="Z37" i="70"/>
  <c r="X37" i="70"/>
  <c r="N37" i="70"/>
  <c r="L37" i="70"/>
  <c r="B37" i="70"/>
  <c r="Z36" i="70"/>
  <c r="X36" i="70"/>
  <c r="N36" i="70"/>
  <c r="L36" i="70"/>
  <c r="B36" i="70"/>
  <c r="X35" i="70"/>
  <c r="Z35" i="70" s="1"/>
  <c r="L35" i="70"/>
  <c r="N35" i="70" s="1"/>
  <c r="B35" i="70"/>
  <c r="Z34" i="70"/>
  <c r="X34" i="70"/>
  <c r="L34" i="70"/>
  <c r="N34" i="70" s="1"/>
  <c r="B34" i="70"/>
  <c r="Z33" i="70"/>
  <c r="X33" i="70"/>
  <c r="N33" i="70"/>
  <c r="L33" i="70"/>
  <c r="B33" i="70"/>
  <c r="Z32" i="70"/>
  <c r="X32" i="70"/>
  <c r="N32" i="70"/>
  <c r="L32" i="70"/>
  <c r="B32" i="70"/>
  <c r="X31" i="70"/>
  <c r="Z31" i="70" s="1"/>
  <c r="L31" i="70"/>
  <c r="N31" i="70" s="1"/>
  <c r="B31" i="70"/>
  <c r="X30" i="70"/>
  <c r="T30" i="70"/>
  <c r="P30" i="70"/>
  <c r="H30" i="70"/>
  <c r="D30" i="70"/>
  <c r="L30" i="70" s="1"/>
  <c r="B30" i="70"/>
  <c r="Z29" i="70"/>
  <c r="T29" i="70"/>
  <c r="P29" i="70"/>
  <c r="X29" i="70" s="1"/>
  <c r="L29" i="70"/>
  <c r="N29" i="70" s="1"/>
  <c r="H29" i="70"/>
  <c r="D29" i="70"/>
  <c r="Z25" i="70"/>
  <c r="T25" i="70"/>
  <c r="P25" i="70"/>
  <c r="X25" i="70" s="1"/>
  <c r="N25" i="70"/>
  <c r="L25" i="70"/>
  <c r="H25" i="70"/>
  <c r="D25" i="70"/>
  <c r="T23" i="70"/>
  <c r="P23" i="70"/>
  <c r="X23" i="70" s="1"/>
  <c r="Z23" i="70" s="1"/>
  <c r="N23" i="70"/>
  <c r="H23" i="70"/>
  <c r="D23" i="70"/>
  <c r="L23" i="70" s="1"/>
  <c r="B23" i="70"/>
  <c r="T22" i="70"/>
  <c r="Z22" i="70" s="1"/>
  <c r="P22" i="70"/>
  <c r="X22" i="70" s="1"/>
  <c r="H22" i="70"/>
  <c r="N22" i="70" s="1"/>
  <c r="D22" i="70"/>
  <c r="L22" i="70" s="1"/>
  <c r="B22" i="70"/>
  <c r="X21" i="70"/>
  <c r="T21" i="70"/>
  <c r="P21" i="70"/>
  <c r="H21" i="70"/>
  <c r="D21" i="70"/>
  <c r="L21" i="70" s="1"/>
  <c r="B21" i="70"/>
  <c r="X20" i="70"/>
  <c r="Z20" i="70" s="1"/>
  <c r="T20" i="70"/>
  <c r="P20" i="70"/>
  <c r="L20" i="70"/>
  <c r="H20" i="70"/>
  <c r="D20" i="70"/>
  <c r="B20" i="70"/>
  <c r="Z19" i="70"/>
  <c r="T19" i="70"/>
  <c r="P19" i="70"/>
  <c r="X19" i="70" s="1"/>
  <c r="N19" i="70"/>
  <c r="H19" i="70"/>
  <c r="D19" i="70"/>
  <c r="L19" i="70" s="1"/>
  <c r="B19" i="70"/>
  <c r="T18" i="70"/>
  <c r="P18" i="70"/>
  <c r="X18" i="70" s="1"/>
  <c r="N18" i="70"/>
  <c r="H18" i="70"/>
  <c r="D18" i="70"/>
  <c r="L18" i="70" s="1"/>
  <c r="B18" i="70"/>
  <c r="T17" i="70"/>
  <c r="Z17" i="70" s="1"/>
  <c r="P17" i="70"/>
  <c r="H17" i="70"/>
  <c r="N17" i="70" s="1"/>
  <c r="D17" i="70"/>
  <c r="B17" i="70"/>
  <c r="X16" i="70"/>
  <c r="T16" i="70"/>
  <c r="P16" i="70"/>
  <c r="L16" i="70"/>
  <c r="N16" i="70" s="1"/>
  <c r="H16" i="70"/>
  <c r="D16" i="70"/>
  <c r="B16" i="70"/>
  <c r="T15" i="70"/>
  <c r="P15" i="70"/>
  <c r="X15" i="70" s="1"/>
  <c r="N15" i="70"/>
  <c r="H15" i="70"/>
  <c r="D15" i="70"/>
  <c r="L15" i="70" s="1"/>
  <c r="B15" i="70"/>
  <c r="T14" i="70"/>
  <c r="P14" i="70"/>
  <c r="X14" i="70" s="1"/>
  <c r="H14" i="70"/>
  <c r="D14" i="70"/>
  <c r="L14" i="70" s="1"/>
  <c r="B14" i="70"/>
  <c r="X13" i="70"/>
  <c r="Z13" i="70" s="1"/>
  <c r="T13" i="70"/>
  <c r="P13" i="70"/>
  <c r="H13" i="70"/>
  <c r="N13" i="70" s="1"/>
  <c r="D13" i="70"/>
  <c r="B13" i="70"/>
  <c r="D6" i="70"/>
  <c r="D4" i="70"/>
  <c r="Z129" i="69"/>
  <c r="X129" i="69"/>
  <c r="N129" i="69"/>
  <c r="L129" i="69"/>
  <c r="Z125" i="69"/>
  <c r="X125" i="69"/>
  <c r="T125" i="69"/>
  <c r="P125" i="69"/>
  <c r="L125" i="69"/>
  <c r="H125" i="69"/>
  <c r="N125" i="69" s="1"/>
  <c r="D125" i="69"/>
  <c r="B125" i="69"/>
  <c r="T124" i="69"/>
  <c r="P124" i="69"/>
  <c r="P123" i="69" s="1"/>
  <c r="N124" i="69"/>
  <c r="L124" i="69"/>
  <c r="H124" i="69"/>
  <c r="D124" i="69"/>
  <c r="B124" i="69"/>
  <c r="H123" i="69"/>
  <c r="N123" i="69" s="1"/>
  <c r="Z121" i="69"/>
  <c r="X121" i="69"/>
  <c r="N121" i="69"/>
  <c r="L121" i="69"/>
  <c r="B121" i="69"/>
  <c r="T120" i="69"/>
  <c r="Z120" i="69" s="1"/>
  <c r="P120" i="69"/>
  <c r="N120" i="69"/>
  <c r="H120" i="69"/>
  <c r="D120" i="69"/>
  <c r="L120" i="69" s="1"/>
  <c r="B120" i="69"/>
  <c r="X119" i="69"/>
  <c r="Z119" i="69" s="1"/>
  <c r="N119" i="69"/>
  <c r="L119" i="69"/>
  <c r="B119" i="69"/>
  <c r="T118" i="69"/>
  <c r="P118" i="69"/>
  <c r="X118" i="69" s="1"/>
  <c r="Z118" i="69" s="1"/>
  <c r="L118" i="69"/>
  <c r="H118" i="69"/>
  <c r="N118" i="69" s="1"/>
  <c r="D118" i="69"/>
  <c r="B118" i="69"/>
  <c r="Z117" i="69"/>
  <c r="X117" i="69"/>
  <c r="N117" i="69"/>
  <c r="L117" i="69"/>
  <c r="B117" i="69"/>
  <c r="X116" i="69"/>
  <c r="Z116" i="69" s="1"/>
  <c r="L116" i="69"/>
  <c r="N116" i="69" s="1"/>
  <c r="B116" i="69"/>
  <c r="Z115" i="69"/>
  <c r="X115" i="69"/>
  <c r="N115" i="69"/>
  <c r="L115" i="69"/>
  <c r="B115" i="69"/>
  <c r="T114" i="69"/>
  <c r="P114" i="69"/>
  <c r="X114" i="69" s="1"/>
  <c r="Z114" i="69" s="1"/>
  <c r="L114" i="69"/>
  <c r="H114" i="69"/>
  <c r="N114" i="69" s="1"/>
  <c r="D114" i="69"/>
  <c r="B114" i="69"/>
  <c r="Z113" i="69"/>
  <c r="X113" i="69"/>
  <c r="N113" i="69"/>
  <c r="L113" i="69"/>
  <c r="B113" i="69"/>
  <c r="X112" i="69"/>
  <c r="T112" i="69"/>
  <c r="Z112" i="69" s="1"/>
  <c r="P112" i="69"/>
  <c r="H112" i="69"/>
  <c r="D112" i="69"/>
  <c r="B112" i="69"/>
  <c r="Z111" i="69"/>
  <c r="X111" i="69"/>
  <c r="N111" i="69"/>
  <c r="L111" i="69"/>
  <c r="B111" i="69"/>
  <c r="X110" i="69"/>
  <c r="Z110" i="69" s="1"/>
  <c r="N110" i="69"/>
  <c r="L110" i="69"/>
  <c r="B110" i="69"/>
  <c r="Z109" i="69"/>
  <c r="T109" i="69"/>
  <c r="X109" i="69" s="1"/>
  <c r="P109" i="69"/>
  <c r="N109" i="69"/>
  <c r="H109" i="69"/>
  <c r="D109" i="69"/>
  <c r="L109" i="69" s="1"/>
  <c r="B109" i="69"/>
  <c r="Z108" i="69"/>
  <c r="X108" i="69"/>
  <c r="N108" i="69"/>
  <c r="L108" i="69"/>
  <c r="B108" i="69"/>
  <c r="Z107" i="69"/>
  <c r="X107" i="69"/>
  <c r="N107" i="69"/>
  <c r="L107" i="69"/>
  <c r="B107" i="69"/>
  <c r="T106" i="69"/>
  <c r="P106" i="69"/>
  <c r="H106" i="69"/>
  <c r="N106" i="69" s="1"/>
  <c r="D106" i="69"/>
  <c r="L106" i="69" s="1"/>
  <c r="B106" i="69"/>
  <c r="Z105" i="69"/>
  <c r="X105" i="69"/>
  <c r="N105" i="69"/>
  <c r="L105" i="69"/>
  <c r="B105" i="69"/>
  <c r="X104" i="69"/>
  <c r="Z104" i="69" s="1"/>
  <c r="L104" i="69"/>
  <c r="N104" i="69" s="1"/>
  <c r="B104" i="69"/>
  <c r="X103" i="69"/>
  <c r="Z103" i="69" s="1"/>
  <c r="T103" i="69"/>
  <c r="P103" i="69"/>
  <c r="H103" i="69"/>
  <c r="D103" i="69"/>
  <c r="L103" i="69" s="1"/>
  <c r="B103" i="69"/>
  <c r="Z102" i="69"/>
  <c r="X102" i="69"/>
  <c r="N102" i="69"/>
  <c r="L102" i="69"/>
  <c r="B102" i="69"/>
  <c r="Z101" i="69"/>
  <c r="X101" i="69"/>
  <c r="N101" i="69"/>
  <c r="L101" i="69"/>
  <c r="B101" i="69"/>
  <c r="T100" i="69"/>
  <c r="P100" i="69"/>
  <c r="N100" i="69"/>
  <c r="H100" i="69"/>
  <c r="D100" i="69"/>
  <c r="L100" i="69" s="1"/>
  <c r="B100" i="69"/>
  <c r="Z99" i="69"/>
  <c r="X99" i="69"/>
  <c r="N99" i="69"/>
  <c r="L99" i="69"/>
  <c r="B99" i="69"/>
  <c r="Z98" i="69"/>
  <c r="T98" i="69"/>
  <c r="P98" i="69"/>
  <c r="X98" i="69" s="1"/>
  <c r="L98" i="69"/>
  <c r="H98" i="69"/>
  <c r="N98" i="69" s="1"/>
  <c r="D98" i="69"/>
  <c r="B98" i="69"/>
  <c r="Z97" i="69"/>
  <c r="X97" i="69"/>
  <c r="N97" i="69"/>
  <c r="L97" i="69"/>
  <c r="B97" i="69"/>
  <c r="Z96" i="69"/>
  <c r="X96" i="69"/>
  <c r="N96" i="69"/>
  <c r="L96" i="69"/>
  <c r="B96" i="69"/>
  <c r="Z95" i="69"/>
  <c r="T95" i="69"/>
  <c r="P95" i="69"/>
  <c r="X95" i="69" s="1"/>
  <c r="H95" i="69"/>
  <c r="L95" i="69" s="1"/>
  <c r="D95" i="69"/>
  <c r="B95" i="69"/>
  <c r="X94" i="69"/>
  <c r="Z94" i="69" s="1"/>
  <c r="N94" i="69"/>
  <c r="L94" i="69"/>
  <c r="B94" i="69"/>
  <c r="T93" i="69"/>
  <c r="X93" i="69" s="1"/>
  <c r="P93" i="69"/>
  <c r="L93" i="69"/>
  <c r="N93" i="69" s="1"/>
  <c r="H93" i="69"/>
  <c r="D93" i="69"/>
  <c r="B93" i="69"/>
  <c r="X92" i="69"/>
  <c r="Z92" i="69" s="1"/>
  <c r="L92" i="69"/>
  <c r="N92" i="69" s="1"/>
  <c r="B92" i="69"/>
  <c r="X91" i="69"/>
  <c r="Z91" i="69" s="1"/>
  <c r="L91" i="69"/>
  <c r="N91" i="69" s="1"/>
  <c r="B91" i="69"/>
  <c r="X90" i="69"/>
  <c r="Z90" i="69" s="1"/>
  <c r="N90" i="69"/>
  <c r="L90" i="69"/>
  <c r="B90" i="69"/>
  <c r="Z89" i="69"/>
  <c r="X89" i="69"/>
  <c r="N89" i="69"/>
  <c r="L89" i="69"/>
  <c r="B89" i="69"/>
  <c r="X88" i="69"/>
  <c r="Z88" i="69" s="1"/>
  <c r="L88" i="69"/>
  <c r="N88" i="69" s="1"/>
  <c r="B88" i="69"/>
  <c r="T87" i="69"/>
  <c r="P87" i="69"/>
  <c r="X87" i="69" s="1"/>
  <c r="Z87" i="69" s="1"/>
  <c r="H87" i="69"/>
  <c r="D87" i="69"/>
  <c r="B87" i="69"/>
  <c r="X86" i="69"/>
  <c r="Z86" i="69" s="1"/>
  <c r="N86" i="69"/>
  <c r="L86" i="69"/>
  <c r="B86" i="69"/>
  <c r="Z85" i="69"/>
  <c r="X85" i="69"/>
  <c r="N85" i="69"/>
  <c r="L85" i="69"/>
  <c r="B85" i="69"/>
  <c r="X84" i="69"/>
  <c r="Z84" i="69" s="1"/>
  <c r="L84" i="69"/>
  <c r="N84" i="69" s="1"/>
  <c r="B84" i="69"/>
  <c r="Z83" i="69"/>
  <c r="X83" i="69"/>
  <c r="L83" i="69"/>
  <c r="N83" i="69" s="1"/>
  <c r="B83" i="69"/>
  <c r="Z82" i="69"/>
  <c r="X82" i="69"/>
  <c r="L82" i="69"/>
  <c r="N82" i="69" s="1"/>
  <c r="B82" i="69"/>
  <c r="Z81" i="69"/>
  <c r="X81" i="69"/>
  <c r="N81" i="69"/>
  <c r="L81" i="69"/>
  <c r="B81" i="69"/>
  <c r="X80" i="69"/>
  <c r="Z80" i="69" s="1"/>
  <c r="L80" i="69"/>
  <c r="N80" i="69" s="1"/>
  <c r="B80" i="69"/>
  <c r="X79" i="69"/>
  <c r="Z79" i="69" s="1"/>
  <c r="L79" i="69"/>
  <c r="N79" i="69" s="1"/>
  <c r="B79" i="69"/>
  <c r="T78" i="69"/>
  <c r="P78" i="69"/>
  <c r="H78" i="69"/>
  <c r="D78" i="69"/>
  <c r="L78" i="69" s="1"/>
  <c r="B78" i="69"/>
  <c r="T77" i="69"/>
  <c r="P77" i="69"/>
  <c r="X77" i="69" s="1"/>
  <c r="H77" i="69"/>
  <c r="D77" i="69"/>
  <c r="L77" i="69" s="1"/>
  <c r="N77" i="69" s="1"/>
  <c r="X73" i="69"/>
  <c r="Z73" i="69" s="1"/>
  <c r="N73" i="69"/>
  <c r="L73" i="69"/>
  <c r="B73" i="69"/>
  <c r="Z72" i="69"/>
  <c r="X72" i="69"/>
  <c r="N72" i="69"/>
  <c r="L72" i="69"/>
  <c r="B72" i="69"/>
  <c r="X71" i="69"/>
  <c r="Z71" i="69" s="1"/>
  <c r="L71" i="69"/>
  <c r="N71" i="69" s="1"/>
  <c r="B71" i="69"/>
  <c r="Z70" i="69"/>
  <c r="X70" i="69"/>
  <c r="N70" i="69"/>
  <c r="L70" i="69"/>
  <c r="B70" i="69"/>
  <c r="Z69" i="69"/>
  <c r="X69" i="69"/>
  <c r="L69" i="69"/>
  <c r="N69" i="69" s="1"/>
  <c r="B69" i="69"/>
  <c r="X68" i="69"/>
  <c r="Z68" i="69" s="1"/>
  <c r="L68" i="69"/>
  <c r="N68" i="69" s="1"/>
  <c r="B68" i="69"/>
  <c r="Z67" i="69"/>
  <c r="X67" i="69"/>
  <c r="N67" i="69"/>
  <c r="L67" i="69"/>
  <c r="B67" i="69"/>
  <c r="Z66" i="69"/>
  <c r="X66" i="69"/>
  <c r="N66" i="69"/>
  <c r="L66" i="69"/>
  <c r="B66" i="69"/>
  <c r="X65" i="69"/>
  <c r="Z65" i="69" s="1"/>
  <c r="N65" i="69"/>
  <c r="L65" i="69"/>
  <c r="B65" i="69"/>
  <c r="X64" i="69"/>
  <c r="Z64" i="69" s="1"/>
  <c r="L64" i="69"/>
  <c r="N64" i="69" s="1"/>
  <c r="B64" i="69"/>
  <c r="X63" i="69"/>
  <c r="Z63" i="69" s="1"/>
  <c r="L63" i="69"/>
  <c r="N63" i="69" s="1"/>
  <c r="B63" i="69"/>
  <c r="Z62" i="69"/>
  <c r="X62" i="69"/>
  <c r="N62" i="69"/>
  <c r="L62" i="69"/>
  <c r="B62" i="69"/>
  <c r="Z61" i="69"/>
  <c r="X61" i="69"/>
  <c r="L61" i="69"/>
  <c r="N61" i="69" s="1"/>
  <c r="B61" i="69"/>
  <c r="X60" i="69"/>
  <c r="Z60" i="69" s="1"/>
  <c r="L60" i="69"/>
  <c r="N60" i="69" s="1"/>
  <c r="B60" i="69"/>
  <c r="Z59" i="69"/>
  <c r="X59" i="69"/>
  <c r="L59" i="69"/>
  <c r="N59" i="69" s="1"/>
  <c r="B59" i="69"/>
  <c r="Z58" i="69"/>
  <c r="X58" i="69"/>
  <c r="L58" i="69"/>
  <c r="N58" i="69" s="1"/>
  <c r="B58" i="69"/>
  <c r="X57" i="69"/>
  <c r="Z57" i="69" s="1"/>
  <c r="N57" i="69"/>
  <c r="L57" i="69"/>
  <c r="B57" i="69"/>
  <c r="X56" i="69"/>
  <c r="Z56" i="69" s="1"/>
  <c r="L56" i="69"/>
  <c r="N56" i="69" s="1"/>
  <c r="B56" i="69"/>
  <c r="X55" i="69"/>
  <c r="Z55" i="69" s="1"/>
  <c r="N55" i="69"/>
  <c r="L55" i="69"/>
  <c r="B55" i="69"/>
  <c r="Z54" i="69"/>
  <c r="X54" i="69"/>
  <c r="N54" i="69"/>
  <c r="L54" i="69"/>
  <c r="B54" i="69"/>
  <c r="T53" i="69"/>
  <c r="P53" i="69"/>
  <c r="H53" i="69"/>
  <c r="D53" i="69"/>
  <c r="L53" i="69" s="1"/>
  <c r="N53" i="69" s="1"/>
  <c r="T51" i="69"/>
  <c r="Z51" i="69" s="1"/>
  <c r="P51" i="69"/>
  <c r="X51" i="69" s="1"/>
  <c r="H51" i="69"/>
  <c r="D51" i="69"/>
  <c r="L51" i="69" s="1"/>
  <c r="B51" i="69"/>
  <c r="T50" i="69"/>
  <c r="P50" i="69"/>
  <c r="X50" i="69" s="1"/>
  <c r="L50" i="69"/>
  <c r="H50" i="69"/>
  <c r="D50" i="69"/>
  <c r="B50" i="69"/>
  <c r="X49" i="69"/>
  <c r="T49" i="69"/>
  <c r="P49" i="69"/>
  <c r="N49" i="69"/>
  <c r="L49" i="69"/>
  <c r="H49" i="69"/>
  <c r="D49" i="69"/>
  <c r="B49" i="69"/>
  <c r="Z48" i="69"/>
  <c r="T48" i="69"/>
  <c r="P48" i="69"/>
  <c r="X48" i="69" s="1"/>
  <c r="N48" i="69"/>
  <c r="H48" i="69"/>
  <c r="D48" i="69"/>
  <c r="L48" i="69" s="1"/>
  <c r="B48" i="69"/>
  <c r="Z47" i="69"/>
  <c r="T47" i="69"/>
  <c r="P47" i="69"/>
  <c r="X47" i="69" s="1"/>
  <c r="H47" i="69"/>
  <c r="N47" i="69" s="1"/>
  <c r="D47" i="69"/>
  <c r="L47" i="69" s="1"/>
  <c r="B47" i="69"/>
  <c r="T46" i="69"/>
  <c r="P46" i="69"/>
  <c r="H46" i="69"/>
  <c r="D46" i="69"/>
  <c r="L46" i="69" s="1"/>
  <c r="B46" i="69"/>
  <c r="Z45" i="69"/>
  <c r="X45" i="69"/>
  <c r="T45" i="69"/>
  <c r="P45" i="69"/>
  <c r="L45" i="69"/>
  <c r="H45" i="69"/>
  <c r="D45" i="69"/>
  <c r="B45" i="69"/>
  <c r="Z44" i="69"/>
  <c r="T44" i="69"/>
  <c r="P44" i="69"/>
  <c r="X44" i="69" s="1"/>
  <c r="L44" i="69"/>
  <c r="N44" i="69" s="1"/>
  <c r="H44" i="69"/>
  <c r="D44" i="69"/>
  <c r="B44" i="69"/>
  <c r="T43" i="69"/>
  <c r="Z43" i="69" s="1"/>
  <c r="P43" i="69"/>
  <c r="X43" i="69" s="1"/>
  <c r="H43" i="69"/>
  <c r="D43" i="69"/>
  <c r="L43" i="69" s="1"/>
  <c r="B43" i="69"/>
  <c r="T42" i="69"/>
  <c r="P42" i="69"/>
  <c r="X42" i="69" s="1"/>
  <c r="L42" i="69"/>
  <c r="H42" i="69"/>
  <c r="D42" i="69"/>
  <c r="B42" i="69"/>
  <c r="X41" i="69"/>
  <c r="T41" i="69"/>
  <c r="P41" i="69"/>
  <c r="N41" i="69"/>
  <c r="L41" i="69"/>
  <c r="H41" i="69"/>
  <c r="D41" i="69"/>
  <c r="B41" i="69"/>
  <c r="Z40" i="69"/>
  <c r="T40" i="69"/>
  <c r="P40" i="69"/>
  <c r="X40" i="69" s="1"/>
  <c r="N40" i="69"/>
  <c r="H40" i="69"/>
  <c r="D40" i="69"/>
  <c r="L40" i="69" s="1"/>
  <c r="B40" i="69"/>
  <c r="Z39" i="69"/>
  <c r="T39" i="69"/>
  <c r="P39" i="69"/>
  <c r="X39" i="69" s="1"/>
  <c r="H39" i="69"/>
  <c r="N39" i="69" s="1"/>
  <c r="D39" i="69"/>
  <c r="L39" i="69" s="1"/>
  <c r="B39" i="69"/>
  <c r="T38" i="69"/>
  <c r="P38" i="69"/>
  <c r="H38" i="69"/>
  <c r="N38" i="69" s="1"/>
  <c r="D38" i="69"/>
  <c r="L38" i="69" s="1"/>
  <c r="B38" i="69"/>
  <c r="Z37" i="69"/>
  <c r="X37" i="69"/>
  <c r="T37" i="69"/>
  <c r="P37" i="69"/>
  <c r="L37" i="69"/>
  <c r="H37" i="69"/>
  <c r="D37" i="69"/>
  <c r="B37" i="69"/>
  <c r="Z36" i="69"/>
  <c r="T36" i="69"/>
  <c r="P36" i="69"/>
  <c r="X36" i="69" s="1"/>
  <c r="N36" i="69"/>
  <c r="L36" i="69"/>
  <c r="H36" i="69"/>
  <c r="D36" i="69"/>
  <c r="B36" i="69"/>
  <c r="T35" i="69"/>
  <c r="Z35" i="69" s="1"/>
  <c r="P35" i="69"/>
  <c r="X35" i="69" s="1"/>
  <c r="H35" i="69"/>
  <c r="N35" i="69" s="1"/>
  <c r="D35" i="69"/>
  <c r="L35" i="69" s="1"/>
  <c r="B35" i="69"/>
  <c r="T34" i="69"/>
  <c r="P34" i="69"/>
  <c r="X34" i="69" s="1"/>
  <c r="L34" i="69"/>
  <c r="H34" i="69"/>
  <c r="D34" i="69"/>
  <c r="B34" i="69"/>
  <c r="X33" i="69"/>
  <c r="T33" i="69"/>
  <c r="P33" i="69"/>
  <c r="N33" i="69"/>
  <c r="L33" i="69"/>
  <c r="H33" i="69"/>
  <c r="D33" i="69"/>
  <c r="B33" i="69"/>
  <c r="Z32" i="69"/>
  <c r="T32" i="69"/>
  <c r="P32" i="69"/>
  <c r="X32" i="69" s="1"/>
  <c r="N32" i="69"/>
  <c r="H32" i="69"/>
  <c r="D32" i="69"/>
  <c r="L32" i="69" s="1"/>
  <c r="B32" i="69"/>
  <c r="Z31" i="69"/>
  <c r="T31" i="69"/>
  <c r="P31" i="69"/>
  <c r="X31" i="69" s="1"/>
  <c r="H31" i="69"/>
  <c r="N31" i="69" s="1"/>
  <c r="D31" i="69"/>
  <c r="L31" i="69" s="1"/>
  <c r="B31" i="69"/>
  <c r="T30" i="69"/>
  <c r="P30" i="69"/>
  <c r="H30" i="69"/>
  <c r="N30" i="69" s="1"/>
  <c r="D30" i="69"/>
  <c r="L30" i="69" s="1"/>
  <c r="B30" i="69"/>
  <c r="Z29" i="69"/>
  <c r="X29" i="69"/>
  <c r="T29" i="69"/>
  <c r="P29" i="69"/>
  <c r="L29" i="69"/>
  <c r="H29" i="69"/>
  <c r="N29" i="69" s="1"/>
  <c r="D29" i="69"/>
  <c r="B29" i="69"/>
  <c r="Z28" i="69"/>
  <c r="T28" i="69"/>
  <c r="P28" i="69"/>
  <c r="X28" i="69" s="1"/>
  <c r="L28" i="69"/>
  <c r="N28" i="69" s="1"/>
  <c r="H28" i="69"/>
  <c r="D28" i="69"/>
  <c r="B28" i="69"/>
  <c r="T27" i="69"/>
  <c r="Z27" i="69" s="1"/>
  <c r="P27" i="69"/>
  <c r="X27" i="69" s="1"/>
  <c r="H27" i="69"/>
  <c r="N27" i="69" s="1"/>
  <c r="D27" i="69"/>
  <c r="L27" i="69" s="1"/>
  <c r="B27" i="69"/>
  <c r="T26" i="69"/>
  <c r="P26" i="69"/>
  <c r="X26" i="69" s="1"/>
  <c r="L26" i="69"/>
  <c r="H26" i="69"/>
  <c r="N26" i="69" s="1"/>
  <c r="D26" i="69"/>
  <c r="B26" i="69"/>
  <c r="X25" i="69"/>
  <c r="T25" i="69"/>
  <c r="Z25" i="69" s="1"/>
  <c r="P25" i="69"/>
  <c r="N25" i="69"/>
  <c r="L25" i="69"/>
  <c r="H25" i="69"/>
  <c r="D25" i="69"/>
  <c r="B25" i="69"/>
  <c r="T24" i="69"/>
  <c r="P24" i="69"/>
  <c r="X24" i="69" s="1"/>
  <c r="Z24" i="69" s="1"/>
  <c r="N24" i="69"/>
  <c r="H24" i="69"/>
  <c r="D24" i="69"/>
  <c r="L24" i="69" s="1"/>
  <c r="B24" i="69"/>
  <c r="Z23" i="69"/>
  <c r="T23" i="69"/>
  <c r="P23" i="69"/>
  <c r="X23" i="69" s="1"/>
  <c r="H23" i="69"/>
  <c r="N23" i="69" s="1"/>
  <c r="D23" i="69"/>
  <c r="L23" i="69" s="1"/>
  <c r="B23" i="69"/>
  <c r="T22" i="69"/>
  <c r="P22" i="69"/>
  <c r="H22" i="69"/>
  <c r="D22" i="69"/>
  <c r="L22" i="69" s="1"/>
  <c r="B22" i="69"/>
  <c r="Z21" i="69"/>
  <c r="X21" i="69"/>
  <c r="T21" i="69"/>
  <c r="P21" i="69"/>
  <c r="L21" i="69"/>
  <c r="H21" i="69"/>
  <c r="D21" i="69"/>
  <c r="B21" i="69"/>
  <c r="Z20" i="69"/>
  <c r="T20" i="69"/>
  <c r="P20" i="69"/>
  <c r="X20" i="69" s="1"/>
  <c r="L20" i="69"/>
  <c r="N20" i="69" s="1"/>
  <c r="H20" i="69"/>
  <c r="D20" i="69"/>
  <c r="B20" i="69"/>
  <c r="T19" i="69"/>
  <c r="Z19" i="69" s="1"/>
  <c r="P19" i="69"/>
  <c r="X19" i="69" s="1"/>
  <c r="H19" i="69"/>
  <c r="N19" i="69" s="1"/>
  <c r="D19" i="69"/>
  <c r="L19" i="69" s="1"/>
  <c r="B19" i="69"/>
  <c r="T18" i="69"/>
  <c r="P18" i="69"/>
  <c r="X18" i="69" s="1"/>
  <c r="L18" i="69"/>
  <c r="H18" i="69"/>
  <c r="N18" i="69" s="1"/>
  <c r="D18" i="69"/>
  <c r="B18" i="69"/>
  <c r="X17" i="69"/>
  <c r="T17" i="69"/>
  <c r="P17" i="69"/>
  <c r="N17" i="69"/>
  <c r="L17" i="69"/>
  <c r="H17" i="69"/>
  <c r="D17" i="69"/>
  <c r="B17" i="69"/>
  <c r="Z16" i="69"/>
  <c r="T16" i="69"/>
  <c r="P16" i="69"/>
  <c r="X16" i="69" s="1"/>
  <c r="N16" i="69"/>
  <c r="H16" i="69"/>
  <c r="D16" i="69"/>
  <c r="L16" i="69" s="1"/>
  <c r="B16" i="69"/>
  <c r="T15" i="69"/>
  <c r="P15" i="69"/>
  <c r="H15" i="69"/>
  <c r="N15" i="69" s="1"/>
  <c r="D15" i="69"/>
  <c r="L15" i="69" s="1"/>
  <c r="B15" i="69"/>
  <c r="T14" i="69"/>
  <c r="P14" i="69"/>
  <c r="H14" i="69"/>
  <c r="N14" i="69" s="1"/>
  <c r="D14" i="69"/>
  <c r="L14" i="69" s="1"/>
  <c r="B14" i="69"/>
  <c r="Z13" i="69"/>
  <c r="X13" i="69"/>
  <c r="T13" i="69"/>
  <c r="P13" i="69"/>
  <c r="L13" i="69"/>
  <c r="H13" i="69"/>
  <c r="D13" i="69"/>
  <c r="B13" i="69"/>
  <c r="D6" i="69"/>
  <c r="D4" i="69"/>
  <c r="F52" i="67"/>
  <c r="Z50" i="67"/>
  <c r="X50" i="67"/>
  <c r="N50" i="67"/>
  <c r="L50" i="67"/>
  <c r="T46" i="67"/>
  <c r="Z46" i="67" s="1"/>
  <c r="P46" i="67"/>
  <c r="X46" i="67" s="1"/>
  <c r="H46" i="67"/>
  <c r="N46" i="67" s="1"/>
  <c r="D46" i="67"/>
  <c r="L46" i="67" s="1"/>
  <c r="Z44" i="67"/>
  <c r="X44" i="67"/>
  <c r="L44" i="67"/>
  <c r="N44" i="67" s="1"/>
  <c r="B44" i="67"/>
  <c r="T43" i="67"/>
  <c r="P43" i="67"/>
  <c r="X43" i="67" s="1"/>
  <c r="Z43" i="67" s="1"/>
  <c r="L43" i="67"/>
  <c r="N43" i="67" s="1"/>
  <c r="H43" i="67"/>
  <c r="D43" i="67"/>
  <c r="B43" i="67"/>
  <c r="Z42" i="67"/>
  <c r="X42" i="67"/>
  <c r="N42" i="67"/>
  <c r="L42" i="67"/>
  <c r="F42" i="67"/>
  <c r="B42" i="67"/>
  <c r="Z41" i="67"/>
  <c r="X41" i="67"/>
  <c r="T41" i="67"/>
  <c r="P41" i="67"/>
  <c r="L41" i="67"/>
  <c r="H41" i="67"/>
  <c r="N41" i="67" s="1"/>
  <c r="D41" i="67"/>
  <c r="B41" i="67"/>
  <c r="X40" i="67"/>
  <c r="Z40" i="67" s="1"/>
  <c r="L40" i="67"/>
  <c r="N40" i="67" s="1"/>
  <c r="B40" i="67"/>
  <c r="X39" i="67"/>
  <c r="T39" i="67"/>
  <c r="Z39" i="67" s="1"/>
  <c r="P39" i="67"/>
  <c r="H39" i="67"/>
  <c r="D39" i="67"/>
  <c r="B39" i="67"/>
  <c r="X38" i="67"/>
  <c r="Z38" i="67" s="1"/>
  <c r="N38" i="67"/>
  <c r="L38" i="67"/>
  <c r="F38" i="67"/>
  <c r="B38" i="67"/>
  <c r="T37" i="67"/>
  <c r="P37" i="67"/>
  <c r="H37" i="67"/>
  <c r="D37" i="67"/>
  <c r="L37" i="67" s="1"/>
  <c r="N37" i="67" s="1"/>
  <c r="B37" i="67"/>
  <c r="X36" i="67"/>
  <c r="Z36" i="67" s="1"/>
  <c r="L36" i="67"/>
  <c r="N36" i="67" s="1"/>
  <c r="B36" i="67"/>
  <c r="T35" i="67"/>
  <c r="P35" i="67"/>
  <c r="X35" i="67" s="1"/>
  <c r="Z35" i="67" s="1"/>
  <c r="L35" i="67"/>
  <c r="H35" i="67"/>
  <c r="D35" i="67"/>
  <c r="B35" i="67"/>
  <c r="Z34" i="67"/>
  <c r="X34" i="67"/>
  <c r="N34" i="67"/>
  <c r="L34" i="67"/>
  <c r="B34" i="67"/>
  <c r="X33" i="67"/>
  <c r="T33" i="67"/>
  <c r="P33" i="67"/>
  <c r="N33" i="67"/>
  <c r="L33" i="67"/>
  <c r="H33" i="67"/>
  <c r="D33" i="67"/>
  <c r="B33" i="67"/>
  <c r="X32" i="67"/>
  <c r="Z32" i="67" s="1"/>
  <c r="N32" i="67"/>
  <c r="L32" i="67"/>
  <c r="B32" i="67"/>
  <c r="X31" i="67"/>
  <c r="Z31" i="67" s="1"/>
  <c r="N31" i="67"/>
  <c r="L31" i="67"/>
  <c r="B31" i="67"/>
  <c r="Z30" i="67"/>
  <c r="X30" i="67"/>
  <c r="N30" i="67"/>
  <c r="L30" i="67"/>
  <c r="F30" i="67"/>
  <c r="B30" i="67"/>
  <c r="X29" i="67"/>
  <c r="Z29" i="67" s="1"/>
  <c r="L29" i="67"/>
  <c r="N29" i="67" s="1"/>
  <c r="B29" i="67"/>
  <c r="Z28" i="67"/>
  <c r="X28" i="67"/>
  <c r="L28" i="67"/>
  <c r="N28" i="67" s="1"/>
  <c r="B28" i="67"/>
  <c r="Z27" i="67"/>
  <c r="X27" i="67"/>
  <c r="L27" i="67"/>
  <c r="N27" i="67" s="1"/>
  <c r="B27" i="67"/>
  <c r="Z26" i="67"/>
  <c r="X26" i="67"/>
  <c r="N26" i="67"/>
  <c r="L26" i="67"/>
  <c r="B26" i="67"/>
  <c r="X25" i="67"/>
  <c r="Z25" i="67" s="1"/>
  <c r="L25" i="67"/>
  <c r="N25" i="67" s="1"/>
  <c r="B25" i="67"/>
  <c r="T24" i="67"/>
  <c r="P24" i="67"/>
  <c r="X24" i="67" s="1"/>
  <c r="Z24" i="67" s="1"/>
  <c r="H24" i="67"/>
  <c r="D24" i="67"/>
  <c r="L24" i="67" s="1"/>
  <c r="B24" i="67"/>
  <c r="T23" i="67"/>
  <c r="P23" i="67"/>
  <c r="X23" i="67" s="1"/>
  <c r="Z23" i="67" s="1"/>
  <c r="L23" i="67"/>
  <c r="H23" i="67"/>
  <c r="N23" i="67" s="1"/>
  <c r="D23" i="67"/>
  <c r="D21" i="67"/>
  <c r="Z19" i="67"/>
  <c r="X19" i="67"/>
  <c r="N19" i="67"/>
  <c r="L19" i="67"/>
  <c r="B19" i="67"/>
  <c r="T18" i="67"/>
  <c r="P18" i="67"/>
  <c r="X18" i="67" s="1"/>
  <c r="N18" i="67"/>
  <c r="H18" i="67"/>
  <c r="F18" i="67"/>
  <c r="D18" i="67"/>
  <c r="L18" i="67" s="1"/>
  <c r="T16" i="67"/>
  <c r="Z16" i="67" s="1"/>
  <c r="P16" i="67"/>
  <c r="H16" i="67"/>
  <c r="N16" i="67" s="1"/>
  <c r="D16" i="67"/>
  <c r="B16" i="67"/>
  <c r="X15" i="67"/>
  <c r="T15" i="67"/>
  <c r="Z15" i="67" s="1"/>
  <c r="P15" i="67"/>
  <c r="L15" i="67"/>
  <c r="H15" i="67"/>
  <c r="N15" i="67" s="1"/>
  <c r="D15" i="67"/>
  <c r="B15" i="67"/>
  <c r="Z14" i="67"/>
  <c r="X14" i="67"/>
  <c r="T14" i="67"/>
  <c r="P14" i="67"/>
  <c r="N14" i="67"/>
  <c r="L14" i="67"/>
  <c r="H14" i="67"/>
  <c r="D14" i="67"/>
  <c r="B14" i="67"/>
  <c r="Z13" i="67"/>
  <c r="T13" i="67"/>
  <c r="P13" i="67"/>
  <c r="X13" i="67" s="1"/>
  <c r="N13" i="67"/>
  <c r="L13" i="67"/>
  <c r="H13" i="67"/>
  <c r="D13" i="67"/>
  <c r="B13" i="67"/>
  <c r="T12" i="67"/>
  <c r="H12" i="67"/>
  <c r="D12" i="67"/>
  <c r="D6" i="67"/>
  <c r="D4" i="67"/>
  <c r="X109" i="66"/>
  <c r="Z109" i="66" s="1"/>
  <c r="L109" i="66"/>
  <c r="N109" i="66" s="1"/>
  <c r="T105" i="66"/>
  <c r="P105" i="66"/>
  <c r="L105" i="66"/>
  <c r="H105" i="66"/>
  <c r="D105" i="66"/>
  <c r="D102" i="66" s="1"/>
  <c r="B105" i="66"/>
  <c r="T104" i="66"/>
  <c r="Z104" i="66" s="1"/>
  <c r="P104" i="66"/>
  <c r="X104" i="66" s="1"/>
  <c r="N104" i="66"/>
  <c r="H104" i="66"/>
  <c r="D104" i="66"/>
  <c r="L104" i="66" s="1"/>
  <c r="B104" i="66"/>
  <c r="T103" i="66"/>
  <c r="P103" i="66"/>
  <c r="P102" i="66" s="1"/>
  <c r="X102" i="66" s="1"/>
  <c r="H103" i="66"/>
  <c r="D103" i="66"/>
  <c r="B103" i="66"/>
  <c r="T102" i="66"/>
  <c r="Z102" i="66" s="1"/>
  <c r="Z100" i="66"/>
  <c r="X100" i="66"/>
  <c r="N100" i="66"/>
  <c r="L100" i="66"/>
  <c r="B100" i="66"/>
  <c r="T99" i="66"/>
  <c r="P99" i="66"/>
  <c r="N99" i="66"/>
  <c r="L99" i="66"/>
  <c r="H99" i="66"/>
  <c r="D99" i="66"/>
  <c r="B99" i="66"/>
  <c r="X98" i="66"/>
  <c r="Z98" i="66" s="1"/>
  <c r="L98" i="66"/>
  <c r="N98" i="66" s="1"/>
  <c r="B98" i="66"/>
  <c r="Z97" i="66"/>
  <c r="X97" i="66"/>
  <c r="L97" i="66"/>
  <c r="N97" i="66" s="1"/>
  <c r="B97" i="66"/>
  <c r="Z96" i="66"/>
  <c r="T96" i="66"/>
  <c r="P96" i="66"/>
  <c r="X96" i="66" s="1"/>
  <c r="L96" i="66"/>
  <c r="N96" i="66" s="1"/>
  <c r="H96" i="66"/>
  <c r="D96" i="66"/>
  <c r="B96" i="66"/>
  <c r="X95" i="66"/>
  <c r="Z95" i="66" s="1"/>
  <c r="N95" i="66"/>
  <c r="L95" i="66"/>
  <c r="B95" i="66"/>
  <c r="X94" i="66"/>
  <c r="Z94" i="66" s="1"/>
  <c r="L94" i="66"/>
  <c r="N94" i="66" s="1"/>
  <c r="B94" i="66"/>
  <c r="T93" i="66"/>
  <c r="P93" i="66"/>
  <c r="X93" i="66" s="1"/>
  <c r="Z93" i="66" s="1"/>
  <c r="H93" i="66"/>
  <c r="D93" i="66"/>
  <c r="B93" i="66"/>
  <c r="Z92" i="66"/>
  <c r="X92" i="66"/>
  <c r="N92" i="66"/>
  <c r="L92" i="66"/>
  <c r="B92" i="66"/>
  <c r="T91" i="66"/>
  <c r="P91" i="66"/>
  <c r="L91" i="66"/>
  <c r="H91" i="66"/>
  <c r="N91" i="66" s="1"/>
  <c r="D91" i="66"/>
  <c r="B91" i="66"/>
  <c r="X90" i="66"/>
  <c r="Z90" i="66" s="1"/>
  <c r="L90" i="66"/>
  <c r="N90" i="66" s="1"/>
  <c r="B90" i="66"/>
  <c r="X89" i="66"/>
  <c r="Z89" i="66" s="1"/>
  <c r="N89" i="66"/>
  <c r="L89" i="66"/>
  <c r="B89" i="66"/>
  <c r="Z88" i="66"/>
  <c r="X88" i="66"/>
  <c r="N88" i="66"/>
  <c r="L88" i="66"/>
  <c r="B88" i="66"/>
  <c r="T87" i="66"/>
  <c r="P87" i="66"/>
  <c r="H87" i="66"/>
  <c r="D87" i="66"/>
  <c r="B87" i="66"/>
  <c r="X86" i="66"/>
  <c r="Z86" i="66" s="1"/>
  <c r="L86" i="66"/>
  <c r="N86" i="66" s="1"/>
  <c r="B86" i="66"/>
  <c r="T85" i="66"/>
  <c r="P85" i="66"/>
  <c r="X85" i="66" s="1"/>
  <c r="H85" i="66"/>
  <c r="D85" i="66"/>
  <c r="L85" i="66" s="1"/>
  <c r="B85" i="66"/>
  <c r="Z84" i="66"/>
  <c r="X84" i="66"/>
  <c r="N84" i="66"/>
  <c r="L84" i="66"/>
  <c r="B84" i="66"/>
  <c r="T83" i="66"/>
  <c r="P83" i="66"/>
  <c r="X83" i="66" s="1"/>
  <c r="N83" i="66"/>
  <c r="H83" i="66"/>
  <c r="D83" i="66"/>
  <c r="L83" i="66" s="1"/>
  <c r="B83" i="66"/>
  <c r="X82" i="66"/>
  <c r="Z82" i="66" s="1"/>
  <c r="L82" i="66"/>
  <c r="N82" i="66" s="1"/>
  <c r="B82" i="66"/>
  <c r="Z81" i="66"/>
  <c r="T81" i="66"/>
  <c r="P81" i="66"/>
  <c r="X81" i="66" s="1"/>
  <c r="L81" i="66"/>
  <c r="H81" i="66"/>
  <c r="D81" i="66"/>
  <c r="B81" i="66"/>
  <c r="Z80" i="66"/>
  <c r="X80" i="66"/>
  <c r="N80" i="66"/>
  <c r="L80" i="66"/>
  <c r="B80" i="66"/>
  <c r="X79" i="66"/>
  <c r="T79" i="66"/>
  <c r="P79" i="66"/>
  <c r="L79" i="66"/>
  <c r="H79" i="66"/>
  <c r="D79" i="66"/>
  <c r="B79" i="66"/>
  <c r="X78" i="66"/>
  <c r="Z78" i="66" s="1"/>
  <c r="N78" i="66"/>
  <c r="L78" i="66"/>
  <c r="B78" i="66"/>
  <c r="T77" i="66"/>
  <c r="P77" i="66"/>
  <c r="X77" i="66" s="1"/>
  <c r="H77" i="66"/>
  <c r="N77" i="66" s="1"/>
  <c r="D77" i="66"/>
  <c r="L77" i="66" s="1"/>
  <c r="B77" i="66"/>
  <c r="Z76" i="66"/>
  <c r="X76" i="66"/>
  <c r="N76" i="66"/>
  <c r="L76" i="66"/>
  <c r="B76" i="66"/>
  <c r="T75" i="66"/>
  <c r="Z75" i="66" s="1"/>
  <c r="P75" i="66"/>
  <c r="N75" i="66"/>
  <c r="L75" i="66"/>
  <c r="H75" i="66"/>
  <c r="D75" i="66"/>
  <c r="B75" i="66"/>
  <c r="Z74" i="66"/>
  <c r="X74" i="66"/>
  <c r="N74" i="66"/>
  <c r="L74" i="66"/>
  <c r="B74" i="66"/>
  <c r="X73" i="66"/>
  <c r="Z73" i="66" s="1"/>
  <c r="T73" i="66"/>
  <c r="P73" i="66"/>
  <c r="L73" i="66"/>
  <c r="H73" i="66"/>
  <c r="N73" i="66" s="1"/>
  <c r="D73" i="66"/>
  <c r="B73" i="66"/>
  <c r="Z72" i="66"/>
  <c r="X72" i="66"/>
  <c r="N72" i="66"/>
  <c r="L72" i="66"/>
  <c r="B72" i="66"/>
  <c r="X71" i="66"/>
  <c r="Z71" i="66" s="1"/>
  <c r="N71" i="66"/>
  <c r="L71" i="66"/>
  <c r="B71" i="66"/>
  <c r="Z70" i="66"/>
  <c r="X70" i="66"/>
  <c r="N70" i="66"/>
  <c r="L70" i="66"/>
  <c r="B70" i="66"/>
  <c r="X69" i="66"/>
  <c r="Z69" i="66" s="1"/>
  <c r="L69" i="66"/>
  <c r="N69" i="66" s="1"/>
  <c r="B69" i="66"/>
  <c r="Z68" i="66"/>
  <c r="X68" i="66"/>
  <c r="N68" i="66"/>
  <c r="L68" i="66"/>
  <c r="B68" i="66"/>
  <c r="Z67" i="66"/>
  <c r="X67" i="66"/>
  <c r="N67" i="66"/>
  <c r="L67" i="66"/>
  <c r="B67" i="66"/>
  <c r="X66" i="66"/>
  <c r="Z66" i="66" s="1"/>
  <c r="N66" i="66"/>
  <c r="L66" i="66"/>
  <c r="B66" i="66"/>
  <c r="T65" i="66"/>
  <c r="P65" i="66"/>
  <c r="X65" i="66" s="1"/>
  <c r="H65" i="66"/>
  <c r="D65" i="66"/>
  <c r="L65" i="66" s="1"/>
  <c r="B65" i="66"/>
  <c r="Z64" i="66"/>
  <c r="X64" i="66"/>
  <c r="L64" i="66"/>
  <c r="N64" i="66" s="1"/>
  <c r="B64" i="66"/>
  <c r="Z63" i="66"/>
  <c r="X63" i="66"/>
  <c r="L63" i="66"/>
  <c r="N63" i="66" s="1"/>
  <c r="B63" i="66"/>
  <c r="X62" i="66"/>
  <c r="Z62" i="66" s="1"/>
  <c r="L62" i="66"/>
  <c r="N62" i="66" s="1"/>
  <c r="B62" i="66"/>
  <c r="X61" i="66"/>
  <c r="Z61" i="66" s="1"/>
  <c r="L61" i="66"/>
  <c r="N61" i="66" s="1"/>
  <c r="B61" i="66"/>
  <c r="X60" i="66"/>
  <c r="Z60" i="66" s="1"/>
  <c r="N60" i="66"/>
  <c r="L60" i="66"/>
  <c r="B60" i="66"/>
  <c r="X59" i="66"/>
  <c r="Z59" i="66" s="1"/>
  <c r="N59" i="66"/>
  <c r="L59" i="66"/>
  <c r="B59" i="66"/>
  <c r="Z58" i="66"/>
  <c r="X58" i="66"/>
  <c r="L58" i="66"/>
  <c r="N58" i="66" s="1"/>
  <c r="B58" i="66"/>
  <c r="X57" i="66"/>
  <c r="Z57" i="66" s="1"/>
  <c r="L57" i="66"/>
  <c r="N57" i="66" s="1"/>
  <c r="B57" i="66"/>
  <c r="Z56" i="66"/>
  <c r="X56" i="66"/>
  <c r="L56" i="66"/>
  <c r="N56" i="66" s="1"/>
  <c r="B56" i="66"/>
  <c r="T55" i="66"/>
  <c r="P55" i="66"/>
  <c r="X55" i="66" s="1"/>
  <c r="H55" i="66"/>
  <c r="D55" i="66"/>
  <c r="L55" i="66" s="1"/>
  <c r="N55" i="66" s="1"/>
  <c r="B55" i="66"/>
  <c r="X54" i="66"/>
  <c r="Z54" i="66" s="1"/>
  <c r="T54" i="66"/>
  <c r="P54" i="66"/>
  <c r="L54" i="66"/>
  <c r="H54" i="66"/>
  <c r="N54" i="66" s="1"/>
  <c r="D54" i="66"/>
  <c r="Z50" i="66"/>
  <c r="X50" i="66"/>
  <c r="N50" i="66"/>
  <c r="L50" i="66"/>
  <c r="B50" i="66"/>
  <c r="X49" i="66"/>
  <c r="Z49" i="66" s="1"/>
  <c r="L49" i="66"/>
  <c r="N49" i="66" s="1"/>
  <c r="B49" i="66"/>
  <c r="X48" i="66"/>
  <c r="Z48" i="66" s="1"/>
  <c r="L48" i="66"/>
  <c r="N48" i="66" s="1"/>
  <c r="B48" i="66"/>
  <c r="Z47" i="66"/>
  <c r="X47" i="66"/>
  <c r="N47" i="66"/>
  <c r="L47" i="66"/>
  <c r="B47" i="66"/>
  <c r="Z46" i="66"/>
  <c r="X46" i="66"/>
  <c r="N46" i="66"/>
  <c r="L46" i="66"/>
  <c r="B46" i="66"/>
  <c r="Z45" i="66"/>
  <c r="X45" i="66"/>
  <c r="N45" i="66"/>
  <c r="L45" i="66"/>
  <c r="B45" i="66"/>
  <c r="Z44" i="66"/>
  <c r="X44" i="66"/>
  <c r="N44" i="66"/>
  <c r="L44" i="66"/>
  <c r="B44" i="66"/>
  <c r="Z43" i="66"/>
  <c r="X43" i="66"/>
  <c r="N43" i="66"/>
  <c r="L43" i="66"/>
  <c r="B43" i="66"/>
  <c r="X42" i="66"/>
  <c r="Z42" i="66" s="1"/>
  <c r="L42" i="66"/>
  <c r="N42" i="66" s="1"/>
  <c r="B42" i="66"/>
  <c r="X41" i="66"/>
  <c r="Z41" i="66" s="1"/>
  <c r="N41" i="66"/>
  <c r="L41" i="66"/>
  <c r="B41" i="66"/>
  <c r="X40" i="66"/>
  <c r="Z40" i="66" s="1"/>
  <c r="N40" i="66"/>
  <c r="L40" i="66"/>
  <c r="B40" i="66"/>
  <c r="Z39" i="66"/>
  <c r="X39" i="66"/>
  <c r="N39" i="66"/>
  <c r="L39" i="66"/>
  <c r="F39" i="66"/>
  <c r="B39" i="66"/>
  <c r="X38" i="66"/>
  <c r="Z38" i="66" s="1"/>
  <c r="N38" i="66"/>
  <c r="L38" i="66"/>
  <c r="B38" i="66"/>
  <c r="Z37" i="66"/>
  <c r="X37" i="66"/>
  <c r="N37" i="66"/>
  <c r="L37" i="66"/>
  <c r="B37" i="66"/>
  <c r="T36" i="66"/>
  <c r="P36" i="66"/>
  <c r="X36" i="66" s="1"/>
  <c r="Z36" i="66" s="1"/>
  <c r="L36" i="66"/>
  <c r="H36" i="66"/>
  <c r="D36" i="66"/>
  <c r="T34" i="66"/>
  <c r="P34" i="66"/>
  <c r="X34" i="66" s="1"/>
  <c r="Z34" i="66" s="1"/>
  <c r="L34" i="66"/>
  <c r="H34" i="66"/>
  <c r="N34" i="66" s="1"/>
  <c r="D34" i="66"/>
  <c r="B34" i="66"/>
  <c r="T33" i="66"/>
  <c r="Z33" i="66" s="1"/>
  <c r="P33" i="66"/>
  <c r="X33" i="66" s="1"/>
  <c r="L33" i="66"/>
  <c r="H33" i="66"/>
  <c r="N33" i="66" s="1"/>
  <c r="D33" i="66"/>
  <c r="B33" i="66"/>
  <c r="T32" i="66"/>
  <c r="P32" i="66"/>
  <c r="X32" i="66" s="1"/>
  <c r="L32" i="66"/>
  <c r="H32" i="66"/>
  <c r="N32" i="66" s="1"/>
  <c r="D32" i="66"/>
  <c r="B32" i="66"/>
  <c r="T31" i="66"/>
  <c r="P31" i="66"/>
  <c r="N31" i="66"/>
  <c r="H31" i="66"/>
  <c r="D31" i="66"/>
  <c r="L31" i="66" s="1"/>
  <c r="B31" i="66"/>
  <c r="X30" i="66"/>
  <c r="Z30" i="66" s="1"/>
  <c r="T30" i="66"/>
  <c r="P30" i="66"/>
  <c r="H30" i="66"/>
  <c r="D30" i="66"/>
  <c r="B30" i="66"/>
  <c r="Z29" i="66"/>
  <c r="T29" i="66"/>
  <c r="P29" i="66"/>
  <c r="X29" i="66" s="1"/>
  <c r="L29" i="66"/>
  <c r="N29" i="66" s="1"/>
  <c r="H29" i="66"/>
  <c r="D29" i="66"/>
  <c r="B29" i="66"/>
  <c r="X28" i="66"/>
  <c r="T28" i="66"/>
  <c r="Z28" i="66" s="1"/>
  <c r="P28" i="66"/>
  <c r="H28" i="66"/>
  <c r="D28" i="66"/>
  <c r="L28" i="66" s="1"/>
  <c r="N28" i="66" s="1"/>
  <c r="B28" i="66"/>
  <c r="Z27" i="66"/>
  <c r="T27" i="66"/>
  <c r="P27" i="66"/>
  <c r="X27" i="66" s="1"/>
  <c r="H27" i="66"/>
  <c r="D27" i="66"/>
  <c r="B27" i="66"/>
  <c r="T26" i="66"/>
  <c r="P26" i="66"/>
  <c r="L26" i="66"/>
  <c r="N26" i="66" s="1"/>
  <c r="H26" i="66"/>
  <c r="D26" i="66"/>
  <c r="B26" i="66"/>
  <c r="X25" i="66"/>
  <c r="Z25" i="66" s="1"/>
  <c r="T25" i="66"/>
  <c r="P25" i="66"/>
  <c r="H25" i="66"/>
  <c r="D25" i="66"/>
  <c r="L25" i="66" s="1"/>
  <c r="N25" i="66" s="1"/>
  <c r="B25" i="66"/>
  <c r="T24" i="66"/>
  <c r="P24" i="66"/>
  <c r="X24" i="66" s="1"/>
  <c r="Z24" i="66" s="1"/>
  <c r="L24" i="66"/>
  <c r="H24" i="66"/>
  <c r="N24" i="66" s="1"/>
  <c r="D24" i="66"/>
  <c r="B24" i="66"/>
  <c r="T23" i="66"/>
  <c r="P23" i="66"/>
  <c r="H23" i="66"/>
  <c r="D23" i="66"/>
  <c r="L23" i="66" s="1"/>
  <c r="N23" i="66" s="1"/>
  <c r="B23" i="66"/>
  <c r="X22" i="66"/>
  <c r="Z22" i="66" s="1"/>
  <c r="T22" i="66"/>
  <c r="P22" i="66"/>
  <c r="H22" i="66"/>
  <c r="D22" i="66"/>
  <c r="B22" i="66"/>
  <c r="Z21" i="66"/>
  <c r="T21" i="66"/>
  <c r="P21" i="66"/>
  <c r="X21" i="66" s="1"/>
  <c r="N21" i="66"/>
  <c r="L21" i="66"/>
  <c r="H21" i="66"/>
  <c r="D21" i="66"/>
  <c r="B21" i="66"/>
  <c r="T20" i="66"/>
  <c r="Z20" i="66" s="1"/>
  <c r="P20" i="66"/>
  <c r="X20" i="66" s="1"/>
  <c r="H20" i="66"/>
  <c r="D20" i="66"/>
  <c r="L20" i="66" s="1"/>
  <c r="N20" i="66" s="1"/>
  <c r="B20" i="66"/>
  <c r="T19" i="66"/>
  <c r="Z19" i="66" s="1"/>
  <c r="P19" i="66"/>
  <c r="X19" i="66" s="1"/>
  <c r="H19" i="66"/>
  <c r="D19" i="66"/>
  <c r="B19" i="66"/>
  <c r="T18" i="66"/>
  <c r="P18" i="66"/>
  <c r="N18" i="66"/>
  <c r="L18" i="66"/>
  <c r="H18" i="66"/>
  <c r="D18" i="66"/>
  <c r="B18" i="66"/>
  <c r="X17" i="66"/>
  <c r="Z17" i="66" s="1"/>
  <c r="T17" i="66"/>
  <c r="P17" i="66"/>
  <c r="H17" i="66"/>
  <c r="D17" i="66"/>
  <c r="L17" i="66" s="1"/>
  <c r="N17" i="66" s="1"/>
  <c r="B17" i="66"/>
  <c r="T16" i="66"/>
  <c r="P16" i="66"/>
  <c r="L16" i="66"/>
  <c r="H16" i="66"/>
  <c r="N16" i="66" s="1"/>
  <c r="D16" i="66"/>
  <c r="B16" i="66"/>
  <c r="T15" i="66"/>
  <c r="P15" i="66"/>
  <c r="H15" i="66"/>
  <c r="D15" i="66"/>
  <c r="L15" i="66" s="1"/>
  <c r="N15" i="66" s="1"/>
  <c r="B15" i="66"/>
  <c r="X14" i="66"/>
  <c r="Z14" i="66" s="1"/>
  <c r="T14" i="66"/>
  <c r="P14" i="66"/>
  <c r="H14" i="66"/>
  <c r="D14" i="66"/>
  <c r="B14" i="66"/>
  <c r="T13" i="66"/>
  <c r="P13" i="66"/>
  <c r="X13" i="66" s="1"/>
  <c r="Z13" i="66" s="1"/>
  <c r="L13" i="66"/>
  <c r="N13" i="66" s="1"/>
  <c r="H13" i="66"/>
  <c r="D13" i="66"/>
  <c r="B13" i="66"/>
  <c r="D12" i="66"/>
  <c r="F71" i="66" s="1"/>
  <c r="D6" i="66"/>
  <c r="D4" i="66"/>
  <c r="Z34" i="65"/>
  <c r="X34" i="65"/>
  <c r="N34" i="65"/>
  <c r="L34" i="65"/>
  <c r="P32" i="65"/>
  <c r="Z30" i="65"/>
  <c r="X30" i="65"/>
  <c r="T30" i="65"/>
  <c r="P30" i="65"/>
  <c r="H30" i="65"/>
  <c r="N30" i="65" s="1"/>
  <c r="D30" i="65"/>
  <c r="X28" i="65"/>
  <c r="Z28" i="65" s="1"/>
  <c r="L28" i="65"/>
  <c r="N28" i="65" s="1"/>
  <c r="B28" i="65"/>
  <c r="T27" i="65"/>
  <c r="R27" i="65"/>
  <c r="P27" i="65"/>
  <c r="X27" i="65" s="1"/>
  <c r="H27" i="65"/>
  <c r="N27" i="65" s="1"/>
  <c r="D27" i="65"/>
  <c r="L27" i="65" s="1"/>
  <c r="B27" i="65"/>
  <c r="X26" i="65"/>
  <c r="Z26" i="65" s="1"/>
  <c r="N26" i="65"/>
  <c r="L26" i="65"/>
  <c r="F26" i="65"/>
  <c r="B26" i="65"/>
  <c r="X25" i="65"/>
  <c r="Z25" i="65" s="1"/>
  <c r="N25" i="65"/>
  <c r="L25" i="65"/>
  <c r="J25" i="65"/>
  <c r="B25" i="65"/>
  <c r="T24" i="65"/>
  <c r="P24" i="65"/>
  <c r="X24" i="65" s="1"/>
  <c r="N24" i="65"/>
  <c r="L24" i="65"/>
  <c r="H24" i="65"/>
  <c r="D24" i="65"/>
  <c r="B24" i="65"/>
  <c r="Z23" i="65"/>
  <c r="X23" i="65"/>
  <c r="N23" i="65"/>
  <c r="L23" i="65"/>
  <c r="B23" i="65"/>
  <c r="X22" i="65"/>
  <c r="Z22" i="65" s="1"/>
  <c r="L22" i="65"/>
  <c r="N22" i="65" s="1"/>
  <c r="F22" i="65"/>
  <c r="B22" i="65"/>
  <c r="T21" i="65"/>
  <c r="P21" i="65"/>
  <c r="X21" i="65" s="1"/>
  <c r="H21" i="65"/>
  <c r="D21" i="65"/>
  <c r="L21" i="65" s="1"/>
  <c r="N21" i="65" s="1"/>
  <c r="B21" i="65"/>
  <c r="X20" i="65"/>
  <c r="Z20" i="65" s="1"/>
  <c r="N20" i="65"/>
  <c r="L20" i="65"/>
  <c r="B20" i="65"/>
  <c r="T19" i="65"/>
  <c r="P19" i="65"/>
  <c r="X19" i="65" s="1"/>
  <c r="Z19" i="65" s="1"/>
  <c r="L19" i="65"/>
  <c r="J19" i="65"/>
  <c r="H19" i="65"/>
  <c r="N19" i="65" s="1"/>
  <c r="D19" i="65"/>
  <c r="B19" i="65"/>
  <c r="T18" i="65"/>
  <c r="P18" i="65"/>
  <c r="H18" i="65"/>
  <c r="N18" i="65" s="1"/>
  <c r="D18" i="65"/>
  <c r="L18" i="65" s="1"/>
  <c r="P16" i="65"/>
  <c r="V14" i="65"/>
  <c r="T14" i="65"/>
  <c r="P14" i="65"/>
  <c r="H14" i="65"/>
  <c r="N14" i="65" s="1"/>
  <c r="D14" i="65"/>
  <c r="L14" i="65" s="1"/>
  <c r="T12" i="65"/>
  <c r="V36" i="65" s="1"/>
  <c r="P12" i="65"/>
  <c r="R18" i="65" s="1"/>
  <c r="H12" i="65"/>
  <c r="J34" i="65" s="1"/>
  <c r="D12" i="65"/>
  <c r="D6" i="65"/>
  <c r="D4" i="65"/>
  <c r="X78" i="64"/>
  <c r="Z78" i="64" s="1"/>
  <c r="L78" i="64"/>
  <c r="N78" i="64" s="1"/>
  <c r="X74" i="64"/>
  <c r="T74" i="64"/>
  <c r="Z74" i="64" s="1"/>
  <c r="P74" i="64"/>
  <c r="H74" i="64"/>
  <c r="D74" i="64"/>
  <c r="X72" i="64"/>
  <c r="Z72" i="64" s="1"/>
  <c r="L72" i="64"/>
  <c r="N72" i="64" s="1"/>
  <c r="B72" i="64"/>
  <c r="T71" i="64"/>
  <c r="Z71" i="64" s="1"/>
  <c r="P71" i="64"/>
  <c r="X71" i="64" s="1"/>
  <c r="H71" i="64"/>
  <c r="D71" i="64"/>
  <c r="L71" i="64" s="1"/>
  <c r="N71" i="64" s="1"/>
  <c r="B71" i="64"/>
  <c r="X70" i="64"/>
  <c r="Z70" i="64" s="1"/>
  <c r="L70" i="64"/>
  <c r="N70" i="64" s="1"/>
  <c r="B70" i="64"/>
  <c r="X69" i="64"/>
  <c r="Z69" i="64" s="1"/>
  <c r="N69" i="64"/>
  <c r="L69" i="64"/>
  <c r="B69" i="64"/>
  <c r="Z68" i="64"/>
  <c r="X68" i="64"/>
  <c r="N68" i="64"/>
  <c r="L68" i="64"/>
  <c r="B68" i="64"/>
  <c r="T67" i="64"/>
  <c r="P67" i="64"/>
  <c r="X67" i="64" s="1"/>
  <c r="L67" i="64"/>
  <c r="N67" i="64" s="1"/>
  <c r="H67" i="64"/>
  <c r="D67" i="64"/>
  <c r="B67" i="64"/>
  <c r="X66" i="64"/>
  <c r="Z66" i="64" s="1"/>
  <c r="N66" i="64"/>
  <c r="L66" i="64"/>
  <c r="B66" i="64"/>
  <c r="X65" i="64"/>
  <c r="Z65" i="64" s="1"/>
  <c r="L65" i="64"/>
  <c r="N65" i="64" s="1"/>
  <c r="B65" i="64"/>
  <c r="T64" i="64"/>
  <c r="P64" i="64"/>
  <c r="X64" i="64" s="1"/>
  <c r="Z64" i="64" s="1"/>
  <c r="L64" i="64"/>
  <c r="N64" i="64" s="1"/>
  <c r="H64" i="64"/>
  <c r="D64" i="64"/>
  <c r="B64" i="64"/>
  <c r="Z63" i="64"/>
  <c r="X63" i="64"/>
  <c r="N63" i="64"/>
  <c r="L63" i="64"/>
  <c r="B63" i="64"/>
  <c r="X62" i="64"/>
  <c r="Z62" i="64" s="1"/>
  <c r="L62" i="64"/>
  <c r="N62" i="64" s="1"/>
  <c r="B62" i="64"/>
  <c r="T61" i="64"/>
  <c r="P61" i="64"/>
  <c r="X61" i="64" s="1"/>
  <c r="Z61" i="64" s="1"/>
  <c r="N61" i="64"/>
  <c r="H61" i="64"/>
  <c r="L61" i="64" s="1"/>
  <c r="D61" i="64"/>
  <c r="B61" i="64"/>
  <c r="Z60" i="64"/>
  <c r="X60" i="64"/>
  <c r="N60" i="64"/>
  <c r="L60" i="64"/>
  <c r="B60" i="64"/>
  <c r="Z59" i="64"/>
  <c r="T59" i="64"/>
  <c r="X59" i="64" s="1"/>
  <c r="P59" i="64"/>
  <c r="H59" i="64"/>
  <c r="N59" i="64" s="1"/>
  <c r="D59" i="64"/>
  <c r="L59" i="64" s="1"/>
  <c r="B59" i="64"/>
  <c r="X58" i="64"/>
  <c r="Z58" i="64" s="1"/>
  <c r="N58" i="64"/>
  <c r="L58" i="64"/>
  <c r="B58" i="64"/>
  <c r="T57" i="64"/>
  <c r="Z57" i="64" s="1"/>
  <c r="P57" i="64"/>
  <c r="X57" i="64" s="1"/>
  <c r="H57" i="64"/>
  <c r="N57" i="64" s="1"/>
  <c r="D57" i="64"/>
  <c r="L57" i="64" s="1"/>
  <c r="B57" i="64"/>
  <c r="Z56" i="64"/>
  <c r="X56" i="64"/>
  <c r="N56" i="64"/>
  <c r="L56" i="64"/>
  <c r="B56" i="64"/>
  <c r="T55" i="64"/>
  <c r="Z55" i="64" s="1"/>
  <c r="P55" i="64"/>
  <c r="X55" i="64" s="1"/>
  <c r="N55" i="64"/>
  <c r="H55" i="64"/>
  <c r="D55" i="64"/>
  <c r="L55" i="64" s="1"/>
  <c r="B55" i="64"/>
  <c r="Z54" i="64"/>
  <c r="X54" i="64"/>
  <c r="N54" i="64"/>
  <c r="L54" i="64"/>
  <c r="B54" i="64"/>
  <c r="Z53" i="64"/>
  <c r="X53" i="64"/>
  <c r="N53" i="64"/>
  <c r="L53" i="64"/>
  <c r="B53" i="64"/>
  <c r="Z52" i="64"/>
  <c r="T52" i="64"/>
  <c r="P52" i="64"/>
  <c r="X52" i="64" s="1"/>
  <c r="N52" i="64"/>
  <c r="L52" i="64"/>
  <c r="H52" i="64"/>
  <c r="D52" i="64"/>
  <c r="B52" i="64"/>
  <c r="Z51" i="64"/>
  <c r="X51" i="64"/>
  <c r="L51" i="64"/>
  <c r="N51" i="64" s="1"/>
  <c r="B51" i="64"/>
  <c r="X50" i="64"/>
  <c r="Z50" i="64" s="1"/>
  <c r="T50" i="64"/>
  <c r="P50" i="64"/>
  <c r="L50" i="64"/>
  <c r="H50" i="64"/>
  <c r="D50" i="64"/>
  <c r="B50" i="64"/>
  <c r="Z49" i="64"/>
  <c r="X49" i="64"/>
  <c r="N49" i="64"/>
  <c r="L49" i="64"/>
  <c r="B49" i="64"/>
  <c r="X48" i="64"/>
  <c r="T48" i="64"/>
  <c r="Z48" i="64" s="1"/>
  <c r="P48" i="64"/>
  <c r="H48" i="64"/>
  <c r="N48" i="64" s="1"/>
  <c r="D48" i="64"/>
  <c r="B48" i="64"/>
  <c r="X47" i="64"/>
  <c r="Z47" i="64" s="1"/>
  <c r="N47" i="64"/>
  <c r="L47" i="64"/>
  <c r="B47" i="64"/>
  <c r="X46" i="64"/>
  <c r="Z46" i="64" s="1"/>
  <c r="L46" i="64"/>
  <c r="N46" i="64" s="1"/>
  <c r="B46" i="64"/>
  <c r="T45" i="64"/>
  <c r="P45" i="64"/>
  <c r="X45" i="64" s="1"/>
  <c r="H45" i="64"/>
  <c r="N45" i="64" s="1"/>
  <c r="D45" i="64"/>
  <c r="L45" i="64" s="1"/>
  <c r="B45" i="64"/>
  <c r="Z44" i="64"/>
  <c r="X44" i="64"/>
  <c r="L44" i="64"/>
  <c r="N44" i="64" s="1"/>
  <c r="B44" i="64"/>
  <c r="X43" i="64"/>
  <c r="Z43" i="64" s="1"/>
  <c r="N43" i="64"/>
  <c r="L43" i="64"/>
  <c r="B43" i="64"/>
  <c r="Z42" i="64"/>
  <c r="X42" i="64"/>
  <c r="L42" i="64"/>
  <c r="N42" i="64" s="1"/>
  <c r="B42" i="64"/>
  <c r="T41" i="64"/>
  <c r="Z41" i="64" s="1"/>
  <c r="P41" i="64"/>
  <c r="X41" i="64" s="1"/>
  <c r="L41" i="64"/>
  <c r="H41" i="64"/>
  <c r="N41" i="64" s="1"/>
  <c r="D41" i="64"/>
  <c r="B41" i="64"/>
  <c r="T40" i="64"/>
  <c r="P40" i="64"/>
  <c r="X40" i="64" s="1"/>
  <c r="H40" i="64"/>
  <c r="N40" i="64" s="1"/>
  <c r="D40" i="64"/>
  <c r="L40" i="64" s="1"/>
  <c r="X36" i="64"/>
  <c r="Z36" i="64" s="1"/>
  <c r="L36" i="64"/>
  <c r="N36" i="64" s="1"/>
  <c r="B36" i="64"/>
  <c r="Z35" i="64"/>
  <c r="X35" i="64"/>
  <c r="N35" i="64"/>
  <c r="L35" i="64"/>
  <c r="B35" i="64"/>
  <c r="X34" i="64"/>
  <c r="Z34" i="64" s="1"/>
  <c r="L34" i="64"/>
  <c r="N34" i="64" s="1"/>
  <c r="B34" i="64"/>
  <c r="Z33" i="64"/>
  <c r="X33" i="64"/>
  <c r="L33" i="64"/>
  <c r="N33" i="64" s="1"/>
  <c r="B33" i="64"/>
  <c r="Z32" i="64"/>
  <c r="X32" i="64"/>
  <c r="N32" i="64"/>
  <c r="L32" i="64"/>
  <c r="B32" i="64"/>
  <c r="Z31" i="64"/>
  <c r="X31" i="64"/>
  <c r="N31" i="64"/>
  <c r="L31" i="64"/>
  <c r="B31" i="64"/>
  <c r="Z30" i="64"/>
  <c r="X30" i="64"/>
  <c r="N30" i="64"/>
  <c r="L30" i="64"/>
  <c r="B30" i="64"/>
  <c r="Z29" i="64"/>
  <c r="X29" i="64"/>
  <c r="N29" i="64"/>
  <c r="L29" i="64"/>
  <c r="B29" i="64"/>
  <c r="Z28" i="64"/>
  <c r="X28" i="64"/>
  <c r="N28" i="64"/>
  <c r="L28" i="64"/>
  <c r="B28" i="64"/>
  <c r="Z27" i="64"/>
  <c r="X27" i="64"/>
  <c r="N27" i="64"/>
  <c r="L27" i="64"/>
  <c r="B27" i="64"/>
  <c r="T26" i="64"/>
  <c r="P26" i="64"/>
  <c r="H26" i="64"/>
  <c r="N26" i="64" s="1"/>
  <c r="D26" i="64"/>
  <c r="L26" i="64" s="1"/>
  <c r="T24" i="64"/>
  <c r="P24" i="64"/>
  <c r="X24" i="64" s="1"/>
  <c r="H24" i="64"/>
  <c r="D24" i="64"/>
  <c r="L24" i="64" s="1"/>
  <c r="N24" i="64" s="1"/>
  <c r="B24" i="64"/>
  <c r="T23" i="64"/>
  <c r="P23" i="64"/>
  <c r="X23" i="64" s="1"/>
  <c r="H23" i="64"/>
  <c r="D23" i="64"/>
  <c r="B23" i="64"/>
  <c r="X22" i="64"/>
  <c r="T22" i="64"/>
  <c r="Z22" i="64" s="1"/>
  <c r="P22" i="64"/>
  <c r="L22" i="64"/>
  <c r="H22" i="64"/>
  <c r="N22" i="64" s="1"/>
  <c r="D22" i="64"/>
  <c r="B22" i="64"/>
  <c r="T21" i="64"/>
  <c r="X21" i="64" s="1"/>
  <c r="Z21" i="64" s="1"/>
  <c r="P21" i="64"/>
  <c r="N21" i="64"/>
  <c r="H21" i="64"/>
  <c r="D21" i="64"/>
  <c r="L21" i="64" s="1"/>
  <c r="B21" i="64"/>
  <c r="Z20" i="64"/>
  <c r="T20" i="64"/>
  <c r="P20" i="64"/>
  <c r="H20" i="64"/>
  <c r="N20" i="64" s="1"/>
  <c r="D20" i="64"/>
  <c r="L20" i="64" s="1"/>
  <c r="B20" i="64"/>
  <c r="T19" i="64"/>
  <c r="P19" i="64"/>
  <c r="X19" i="64" s="1"/>
  <c r="H19" i="64"/>
  <c r="N19" i="64" s="1"/>
  <c r="D19" i="64"/>
  <c r="L19" i="64" s="1"/>
  <c r="B19" i="64"/>
  <c r="X18" i="64"/>
  <c r="T18" i="64"/>
  <c r="Z18" i="64" s="1"/>
  <c r="P18" i="64"/>
  <c r="L18" i="64"/>
  <c r="N18" i="64" s="1"/>
  <c r="H18" i="64"/>
  <c r="D18" i="64"/>
  <c r="B18" i="64"/>
  <c r="Z17" i="64"/>
  <c r="T17" i="64"/>
  <c r="P17" i="64"/>
  <c r="X17" i="64" s="1"/>
  <c r="H17" i="64"/>
  <c r="L17" i="64" s="1"/>
  <c r="N17" i="64" s="1"/>
  <c r="D17" i="64"/>
  <c r="B17" i="64"/>
  <c r="T16" i="64"/>
  <c r="Z16" i="64" s="1"/>
  <c r="P16" i="64"/>
  <c r="X16" i="64" s="1"/>
  <c r="H16" i="64"/>
  <c r="D16" i="64"/>
  <c r="B16" i="64"/>
  <c r="T15" i="64"/>
  <c r="P15" i="64"/>
  <c r="H15" i="64"/>
  <c r="D15" i="64"/>
  <c r="B15" i="64"/>
  <c r="X14" i="64"/>
  <c r="Z14" i="64" s="1"/>
  <c r="T14" i="64"/>
  <c r="P14" i="64"/>
  <c r="L14" i="64"/>
  <c r="H14" i="64"/>
  <c r="D14" i="64"/>
  <c r="B14" i="64"/>
  <c r="T13" i="64"/>
  <c r="X13" i="64" s="1"/>
  <c r="Z13" i="64" s="1"/>
  <c r="P13" i="64"/>
  <c r="H13" i="64"/>
  <c r="D13" i="64"/>
  <c r="L13" i="64" s="1"/>
  <c r="N13" i="64" s="1"/>
  <c r="B13" i="64"/>
  <c r="D6" i="64"/>
  <c r="D4" i="64"/>
  <c r="Z40" i="63"/>
  <c r="X40" i="63"/>
  <c r="N40" i="63"/>
  <c r="L40" i="63"/>
  <c r="T36" i="63"/>
  <c r="Z36" i="63" s="1"/>
  <c r="P36" i="63"/>
  <c r="X36" i="63" s="1"/>
  <c r="H36" i="63"/>
  <c r="N36" i="63" s="1"/>
  <c r="D36" i="63"/>
  <c r="L36" i="63" s="1"/>
  <c r="Z34" i="63"/>
  <c r="X34" i="63"/>
  <c r="N34" i="63"/>
  <c r="L34" i="63"/>
  <c r="B34" i="63"/>
  <c r="Z33" i="63"/>
  <c r="T33" i="63"/>
  <c r="P33" i="63"/>
  <c r="X33" i="63" s="1"/>
  <c r="N33" i="63"/>
  <c r="L33" i="63"/>
  <c r="H33" i="63"/>
  <c r="D33" i="63"/>
  <c r="B33" i="63"/>
  <c r="Z32" i="63"/>
  <c r="X32" i="63"/>
  <c r="R32" i="63"/>
  <c r="N32" i="63"/>
  <c r="L32" i="63"/>
  <c r="B32" i="63"/>
  <c r="V31" i="63"/>
  <c r="T31" i="63"/>
  <c r="Z31" i="63" s="1"/>
  <c r="P31" i="63"/>
  <c r="N31" i="63"/>
  <c r="H31" i="63"/>
  <c r="F31" i="63"/>
  <c r="D31" i="63"/>
  <c r="L31" i="63" s="1"/>
  <c r="B31" i="63"/>
  <c r="Z30" i="63"/>
  <c r="X30" i="63"/>
  <c r="N30" i="63"/>
  <c r="L30" i="63"/>
  <c r="J30" i="63"/>
  <c r="B30" i="63"/>
  <c r="T29" i="63"/>
  <c r="Z29" i="63" s="1"/>
  <c r="R29" i="63"/>
  <c r="P29" i="63"/>
  <c r="X29" i="63" s="1"/>
  <c r="H29" i="63"/>
  <c r="N29" i="63" s="1"/>
  <c r="D29" i="63"/>
  <c r="L29" i="63" s="1"/>
  <c r="B29" i="63"/>
  <c r="Z28" i="63"/>
  <c r="X28" i="63"/>
  <c r="N28" i="63"/>
  <c r="L28" i="63"/>
  <c r="F28" i="63"/>
  <c r="B28" i="63"/>
  <c r="T27" i="63"/>
  <c r="Z27" i="63" s="1"/>
  <c r="P27" i="63"/>
  <c r="X27" i="63" s="1"/>
  <c r="N27" i="63"/>
  <c r="L27" i="63"/>
  <c r="H27" i="63"/>
  <c r="D27" i="63"/>
  <c r="B27" i="63"/>
  <c r="Z26" i="63"/>
  <c r="X26" i="63"/>
  <c r="V26" i="63"/>
  <c r="N26" i="63"/>
  <c r="L26" i="63"/>
  <c r="B26" i="63"/>
  <c r="Z25" i="63"/>
  <c r="X25" i="63"/>
  <c r="N25" i="63"/>
  <c r="L25" i="63"/>
  <c r="B25" i="63"/>
  <c r="Z24" i="63"/>
  <c r="T24" i="63"/>
  <c r="P24" i="63"/>
  <c r="X24" i="63" s="1"/>
  <c r="N24" i="63"/>
  <c r="L24" i="63"/>
  <c r="J24" i="63"/>
  <c r="H24" i="63"/>
  <c r="D24" i="63"/>
  <c r="B24" i="63"/>
  <c r="X23" i="63"/>
  <c r="Z23" i="63" s="1"/>
  <c r="V23" i="63"/>
  <c r="R23" i="63"/>
  <c r="N23" i="63"/>
  <c r="L23" i="63"/>
  <c r="B23" i="63"/>
  <c r="Z22" i="63"/>
  <c r="X22" i="63"/>
  <c r="V22" i="63"/>
  <c r="N22" i="63"/>
  <c r="L22" i="63"/>
  <c r="B22" i="63"/>
  <c r="Z21" i="63"/>
  <c r="X21" i="63"/>
  <c r="N21" i="63"/>
  <c r="L21" i="63"/>
  <c r="B21" i="63"/>
  <c r="Z20" i="63"/>
  <c r="X20" i="63"/>
  <c r="N20" i="63"/>
  <c r="L20" i="63"/>
  <c r="F20" i="63"/>
  <c r="B20" i="63"/>
  <c r="T19" i="63"/>
  <c r="Z19" i="63" s="1"/>
  <c r="P19" i="63"/>
  <c r="X19" i="63" s="1"/>
  <c r="N19" i="63"/>
  <c r="L19" i="63"/>
  <c r="H19" i="63"/>
  <c r="D19" i="63"/>
  <c r="B19" i="63"/>
  <c r="X18" i="63"/>
  <c r="Z18" i="63" s="1"/>
  <c r="V18" i="63"/>
  <c r="T18" i="63"/>
  <c r="P18" i="63"/>
  <c r="H18" i="63"/>
  <c r="N18" i="63" s="1"/>
  <c r="F18" i="63"/>
  <c r="D18" i="63"/>
  <c r="P16" i="63"/>
  <c r="X14" i="63"/>
  <c r="V14" i="63"/>
  <c r="T14" i="63"/>
  <c r="T16" i="63" s="1"/>
  <c r="P14" i="63"/>
  <c r="H14" i="63"/>
  <c r="N14" i="63" s="1"/>
  <c r="F14" i="63"/>
  <c r="D14" i="63"/>
  <c r="L14" i="63" s="1"/>
  <c r="T12" i="63"/>
  <c r="V45" i="63" s="1"/>
  <c r="P12" i="63"/>
  <c r="R40" i="63" s="1"/>
  <c r="L12" i="63"/>
  <c r="H12" i="63"/>
  <c r="D12" i="63"/>
  <c r="F45" i="63" s="1"/>
  <c r="D6" i="63"/>
  <c r="D4" i="63"/>
  <c r="J95" i="62"/>
  <c r="Z93" i="62"/>
  <c r="X93" i="62"/>
  <c r="N93" i="62"/>
  <c r="L93" i="62"/>
  <c r="D91" i="62"/>
  <c r="Z89" i="62"/>
  <c r="X89" i="62"/>
  <c r="T89" i="62"/>
  <c r="P89" i="62"/>
  <c r="L89" i="62"/>
  <c r="H89" i="62"/>
  <c r="D89" i="62"/>
  <c r="B89" i="62"/>
  <c r="T88" i="62"/>
  <c r="P88" i="62"/>
  <c r="H88" i="62"/>
  <c r="D88" i="62"/>
  <c r="L88" i="62" s="1"/>
  <c r="N88" i="62" s="1"/>
  <c r="Z86" i="62"/>
  <c r="X86" i="62"/>
  <c r="L86" i="62"/>
  <c r="N86" i="62" s="1"/>
  <c r="J86" i="62"/>
  <c r="B86" i="62"/>
  <c r="T85" i="62"/>
  <c r="Z85" i="62" s="1"/>
  <c r="P85" i="62"/>
  <c r="X85" i="62" s="1"/>
  <c r="N85" i="62"/>
  <c r="H85" i="62"/>
  <c r="D85" i="62"/>
  <c r="L85" i="62" s="1"/>
  <c r="B85" i="62"/>
  <c r="X84" i="62"/>
  <c r="Z84" i="62" s="1"/>
  <c r="N84" i="62"/>
  <c r="L84" i="62"/>
  <c r="B84" i="62"/>
  <c r="Z83" i="62"/>
  <c r="X83" i="62"/>
  <c r="N83" i="62"/>
  <c r="L83" i="62"/>
  <c r="B83" i="62"/>
  <c r="T82" i="62"/>
  <c r="P82" i="62"/>
  <c r="X82" i="62" s="1"/>
  <c r="N82" i="62"/>
  <c r="L82" i="62"/>
  <c r="H82" i="62"/>
  <c r="D82" i="62"/>
  <c r="B82" i="62"/>
  <c r="X81" i="62"/>
  <c r="Z81" i="62" s="1"/>
  <c r="N81" i="62"/>
  <c r="L81" i="62"/>
  <c r="J81" i="62"/>
  <c r="B81" i="62"/>
  <c r="X80" i="62"/>
  <c r="Z80" i="62" s="1"/>
  <c r="T80" i="62"/>
  <c r="P80" i="62"/>
  <c r="J80" i="62"/>
  <c r="H80" i="62"/>
  <c r="D80" i="62"/>
  <c r="B80" i="62"/>
  <c r="Z79" i="62"/>
  <c r="X79" i="62"/>
  <c r="N79" i="62"/>
  <c r="L79" i="62"/>
  <c r="B79" i="62"/>
  <c r="T78" i="62"/>
  <c r="P78" i="62"/>
  <c r="H78" i="62"/>
  <c r="D78" i="62"/>
  <c r="L78" i="62" s="1"/>
  <c r="B78" i="62"/>
  <c r="Z77" i="62"/>
  <c r="X77" i="62"/>
  <c r="L77" i="62"/>
  <c r="N77" i="62" s="1"/>
  <c r="B77" i="62"/>
  <c r="X76" i="62"/>
  <c r="Z76" i="62" s="1"/>
  <c r="L76" i="62"/>
  <c r="N76" i="62" s="1"/>
  <c r="B76" i="62"/>
  <c r="Z75" i="62"/>
  <c r="X75" i="62"/>
  <c r="N75" i="62"/>
  <c r="L75" i="62"/>
  <c r="B75" i="62"/>
  <c r="Z74" i="62"/>
  <c r="X74" i="62"/>
  <c r="N74" i="62"/>
  <c r="L74" i="62"/>
  <c r="F74" i="62"/>
  <c r="B74" i="62"/>
  <c r="X73" i="62"/>
  <c r="Z73" i="62" s="1"/>
  <c r="N73" i="62"/>
  <c r="L73" i="62"/>
  <c r="B73" i="62"/>
  <c r="Z72" i="62"/>
  <c r="T72" i="62"/>
  <c r="P72" i="62"/>
  <c r="X72" i="62" s="1"/>
  <c r="H72" i="62"/>
  <c r="D72" i="62"/>
  <c r="B72" i="62"/>
  <c r="Z71" i="62"/>
  <c r="X71" i="62"/>
  <c r="N71" i="62"/>
  <c r="L71" i="62"/>
  <c r="B71" i="62"/>
  <c r="T70" i="62"/>
  <c r="Z70" i="62" s="1"/>
  <c r="P70" i="62"/>
  <c r="X70" i="62" s="1"/>
  <c r="L70" i="62"/>
  <c r="H70" i="62"/>
  <c r="N70" i="62" s="1"/>
  <c r="F70" i="62"/>
  <c r="D70" i="62"/>
  <c r="B70" i="62"/>
  <c r="Z69" i="62"/>
  <c r="X69" i="62"/>
  <c r="V69" i="62"/>
  <c r="L69" i="62"/>
  <c r="N69" i="62" s="1"/>
  <c r="J69" i="62"/>
  <c r="B69" i="62"/>
  <c r="X68" i="62"/>
  <c r="Z68" i="62" s="1"/>
  <c r="N68" i="62"/>
  <c r="L68" i="62"/>
  <c r="B68" i="62"/>
  <c r="Z67" i="62"/>
  <c r="X67" i="62"/>
  <c r="N67" i="62"/>
  <c r="L67" i="62"/>
  <c r="B67" i="62"/>
  <c r="T66" i="62"/>
  <c r="P66" i="62"/>
  <c r="X66" i="62" s="1"/>
  <c r="L66" i="62"/>
  <c r="H66" i="62"/>
  <c r="N66" i="62" s="1"/>
  <c r="F66" i="62"/>
  <c r="D66" i="62"/>
  <c r="B66" i="62"/>
  <c r="Z65" i="62"/>
  <c r="X65" i="62"/>
  <c r="V65" i="62"/>
  <c r="L65" i="62"/>
  <c r="N65" i="62" s="1"/>
  <c r="J65" i="62"/>
  <c r="B65" i="62"/>
  <c r="X64" i="62"/>
  <c r="Z64" i="62" s="1"/>
  <c r="N64" i="62"/>
  <c r="L64" i="62"/>
  <c r="B64" i="62"/>
  <c r="Z63" i="62"/>
  <c r="X63" i="62"/>
  <c r="N63" i="62"/>
  <c r="L63" i="62"/>
  <c r="B63" i="62"/>
  <c r="X62" i="62"/>
  <c r="Z62" i="62" s="1"/>
  <c r="R62" i="62"/>
  <c r="N62" i="62"/>
  <c r="L62" i="62"/>
  <c r="F62" i="62"/>
  <c r="B62" i="62"/>
  <c r="X61" i="62"/>
  <c r="T61" i="62"/>
  <c r="P61" i="62"/>
  <c r="H61" i="62"/>
  <c r="F61" i="62"/>
  <c r="D61" i="62"/>
  <c r="B61" i="62"/>
  <c r="X60" i="62"/>
  <c r="Z60" i="62" s="1"/>
  <c r="L60" i="62"/>
  <c r="N60" i="62" s="1"/>
  <c r="B60" i="62"/>
  <c r="T59" i="62"/>
  <c r="P59" i="62"/>
  <c r="H59" i="62"/>
  <c r="D59" i="62"/>
  <c r="L59" i="62" s="1"/>
  <c r="N59" i="62" s="1"/>
  <c r="B59" i="62"/>
  <c r="X58" i="62"/>
  <c r="Z58" i="62" s="1"/>
  <c r="N58" i="62"/>
  <c r="L58" i="62"/>
  <c r="F58" i="62"/>
  <c r="B58" i="62"/>
  <c r="X57" i="62"/>
  <c r="Z57" i="62" s="1"/>
  <c r="T57" i="62"/>
  <c r="P57" i="62"/>
  <c r="H57" i="62"/>
  <c r="F57" i="62"/>
  <c r="D57" i="62"/>
  <c r="B57" i="62"/>
  <c r="X56" i="62"/>
  <c r="Z56" i="62" s="1"/>
  <c r="N56" i="62"/>
  <c r="L56" i="62"/>
  <c r="B56" i="62"/>
  <c r="T55" i="62"/>
  <c r="X55" i="62" s="1"/>
  <c r="Z55" i="62" s="1"/>
  <c r="P55" i="62"/>
  <c r="N55" i="62"/>
  <c r="L55" i="62"/>
  <c r="J55" i="62"/>
  <c r="H55" i="62"/>
  <c r="D55" i="62"/>
  <c r="B55" i="62"/>
  <c r="Z54" i="62"/>
  <c r="X54" i="62"/>
  <c r="L54" i="62"/>
  <c r="N54" i="62" s="1"/>
  <c r="B54" i="62"/>
  <c r="X53" i="62"/>
  <c r="Z53" i="62" s="1"/>
  <c r="T53" i="62"/>
  <c r="P53" i="62"/>
  <c r="L53" i="62"/>
  <c r="J53" i="62"/>
  <c r="H53" i="62"/>
  <c r="N53" i="62" s="1"/>
  <c r="F53" i="62"/>
  <c r="D53" i="62"/>
  <c r="B53" i="62"/>
  <c r="Z52" i="62"/>
  <c r="X52" i="62"/>
  <c r="V52" i="62"/>
  <c r="N52" i="62"/>
  <c r="L52" i="62"/>
  <c r="B52" i="62"/>
  <c r="X51" i="62"/>
  <c r="T51" i="62"/>
  <c r="Z51" i="62" s="1"/>
  <c r="P51" i="62"/>
  <c r="H51" i="62"/>
  <c r="F51" i="62"/>
  <c r="D51" i="62"/>
  <c r="B51" i="62"/>
  <c r="Z50" i="62"/>
  <c r="X50" i="62"/>
  <c r="N50" i="62"/>
  <c r="L50" i="62"/>
  <c r="J50" i="62"/>
  <c r="F50" i="62"/>
  <c r="B50" i="62"/>
  <c r="T49" i="62"/>
  <c r="Z49" i="62" s="1"/>
  <c r="P49" i="62"/>
  <c r="X49" i="62" s="1"/>
  <c r="N49" i="62"/>
  <c r="H49" i="62"/>
  <c r="D49" i="62"/>
  <c r="L49" i="62" s="1"/>
  <c r="B49" i="62"/>
  <c r="Z48" i="62"/>
  <c r="X48" i="62"/>
  <c r="N48" i="62"/>
  <c r="L48" i="62"/>
  <c r="J48" i="62"/>
  <c r="F48" i="62"/>
  <c r="B48" i="62"/>
  <c r="Z47" i="62"/>
  <c r="T47" i="62"/>
  <c r="P47" i="62"/>
  <c r="X47" i="62" s="1"/>
  <c r="N47" i="62"/>
  <c r="L47" i="62"/>
  <c r="J47" i="62"/>
  <c r="H47" i="62"/>
  <c r="F47" i="62"/>
  <c r="D47" i="62"/>
  <c r="B47" i="62"/>
  <c r="Z46" i="62"/>
  <c r="X46" i="62"/>
  <c r="L46" i="62"/>
  <c r="N46" i="62" s="1"/>
  <c r="B46" i="62"/>
  <c r="X45" i="62"/>
  <c r="Z45" i="62" s="1"/>
  <c r="N45" i="62"/>
  <c r="L45" i="62"/>
  <c r="F45" i="62"/>
  <c r="B45" i="62"/>
  <c r="Z44" i="62"/>
  <c r="X44" i="62"/>
  <c r="T44" i="62"/>
  <c r="P44" i="62"/>
  <c r="N44" i="62"/>
  <c r="J44" i="62"/>
  <c r="H44" i="62"/>
  <c r="L44" i="62" s="1"/>
  <c r="D44" i="62"/>
  <c r="B44" i="62"/>
  <c r="X43" i="62"/>
  <c r="Z43" i="62" s="1"/>
  <c r="R43" i="62"/>
  <c r="N43" i="62"/>
  <c r="L43" i="62"/>
  <c r="F43" i="62"/>
  <c r="B43" i="62"/>
  <c r="T42" i="62"/>
  <c r="X42" i="62" s="1"/>
  <c r="Z42" i="62" s="1"/>
  <c r="P42" i="62"/>
  <c r="J42" i="62"/>
  <c r="H42" i="62"/>
  <c r="F42" i="62"/>
  <c r="D42" i="62"/>
  <c r="L42" i="62" s="1"/>
  <c r="B42" i="62"/>
  <c r="Z41" i="62"/>
  <c r="X41" i="62"/>
  <c r="R41" i="62"/>
  <c r="L41" i="62"/>
  <c r="N41" i="62" s="1"/>
  <c r="J41" i="62"/>
  <c r="B41" i="62"/>
  <c r="V40" i="62"/>
  <c r="T40" i="62"/>
  <c r="R40" i="62"/>
  <c r="P40" i="62"/>
  <c r="X40" i="62" s="1"/>
  <c r="H40" i="62"/>
  <c r="F40" i="62"/>
  <c r="D40" i="62"/>
  <c r="L40" i="62" s="1"/>
  <c r="N40" i="62" s="1"/>
  <c r="B40" i="62"/>
  <c r="Z39" i="62"/>
  <c r="X39" i="62"/>
  <c r="N39" i="62"/>
  <c r="L39" i="62"/>
  <c r="J39" i="62"/>
  <c r="F39" i="62"/>
  <c r="B39" i="62"/>
  <c r="Z38" i="62"/>
  <c r="T38" i="62"/>
  <c r="R38" i="62"/>
  <c r="P38" i="62"/>
  <c r="X38" i="62" s="1"/>
  <c r="N38" i="62"/>
  <c r="L38" i="62"/>
  <c r="H38" i="62"/>
  <c r="F38" i="62"/>
  <c r="D38" i="62"/>
  <c r="B38" i="62"/>
  <c r="Z37" i="62"/>
  <c r="X37" i="62"/>
  <c r="N37" i="62"/>
  <c r="L37" i="62"/>
  <c r="F37" i="62"/>
  <c r="B37" i="62"/>
  <c r="Z36" i="62"/>
  <c r="X36" i="62"/>
  <c r="N36" i="62"/>
  <c r="L36" i="62"/>
  <c r="J36" i="62"/>
  <c r="F36" i="62"/>
  <c r="B36" i="62"/>
  <c r="Z35" i="62"/>
  <c r="X35" i="62"/>
  <c r="L35" i="62"/>
  <c r="N35" i="62" s="1"/>
  <c r="J35" i="62"/>
  <c r="F35" i="62"/>
  <c r="B35" i="62"/>
  <c r="X34" i="62"/>
  <c r="Z34" i="62" s="1"/>
  <c r="N34" i="62"/>
  <c r="L34" i="62"/>
  <c r="J34" i="62"/>
  <c r="F34" i="62"/>
  <c r="B34" i="62"/>
  <c r="Z33" i="62"/>
  <c r="X33" i="62"/>
  <c r="R33" i="62"/>
  <c r="N33" i="62"/>
  <c r="L33" i="62"/>
  <c r="J33" i="62"/>
  <c r="B33" i="62"/>
  <c r="Z32" i="62"/>
  <c r="X32" i="62"/>
  <c r="V32" i="62"/>
  <c r="N32" i="62"/>
  <c r="L32" i="62"/>
  <c r="F32" i="62"/>
  <c r="B32" i="62"/>
  <c r="X31" i="62"/>
  <c r="Z31" i="62" s="1"/>
  <c r="R31" i="62"/>
  <c r="N31" i="62"/>
  <c r="L31" i="62"/>
  <c r="F31" i="62"/>
  <c r="B31" i="62"/>
  <c r="T30" i="62"/>
  <c r="X30" i="62" s="1"/>
  <c r="Z30" i="62" s="1"/>
  <c r="P30" i="62"/>
  <c r="J30" i="62"/>
  <c r="H30" i="62"/>
  <c r="F30" i="62"/>
  <c r="D30" i="62"/>
  <c r="L30" i="62" s="1"/>
  <c r="B30" i="62"/>
  <c r="Z29" i="62"/>
  <c r="X29" i="62"/>
  <c r="R29" i="62"/>
  <c r="L29" i="62"/>
  <c r="N29" i="62" s="1"/>
  <c r="J29" i="62"/>
  <c r="B29" i="62"/>
  <c r="Z28" i="62"/>
  <c r="X28" i="62"/>
  <c r="V28" i="62"/>
  <c r="N28" i="62"/>
  <c r="L28" i="62"/>
  <c r="F28" i="62"/>
  <c r="B28" i="62"/>
  <c r="X27" i="62"/>
  <c r="Z27" i="62" s="1"/>
  <c r="R27" i="62"/>
  <c r="N27" i="62"/>
  <c r="L27" i="62"/>
  <c r="F27" i="62"/>
  <c r="B27" i="62"/>
  <c r="Z26" i="62"/>
  <c r="X26" i="62"/>
  <c r="N26" i="62"/>
  <c r="L26" i="62"/>
  <c r="B26" i="62"/>
  <c r="X25" i="62"/>
  <c r="Z25" i="62" s="1"/>
  <c r="N25" i="62"/>
  <c r="L25" i="62"/>
  <c r="F25" i="62"/>
  <c r="B25" i="62"/>
  <c r="Z24" i="62"/>
  <c r="X24" i="62"/>
  <c r="N24" i="62"/>
  <c r="L24" i="62"/>
  <c r="J24" i="62"/>
  <c r="F24" i="62"/>
  <c r="B24" i="62"/>
  <c r="Z23" i="62"/>
  <c r="X23" i="62"/>
  <c r="L23" i="62"/>
  <c r="N23" i="62" s="1"/>
  <c r="J23" i="62"/>
  <c r="F23" i="62"/>
  <c r="B23" i="62"/>
  <c r="X22" i="62"/>
  <c r="Z22" i="62" s="1"/>
  <c r="N22" i="62"/>
  <c r="L22" i="62"/>
  <c r="J22" i="62"/>
  <c r="F22" i="62"/>
  <c r="B22" i="62"/>
  <c r="Z21" i="62"/>
  <c r="X21" i="62"/>
  <c r="R21" i="62"/>
  <c r="L21" i="62"/>
  <c r="N21" i="62" s="1"/>
  <c r="J21" i="62"/>
  <c r="B21" i="62"/>
  <c r="Z20" i="62"/>
  <c r="X20" i="62"/>
  <c r="V20" i="62"/>
  <c r="N20" i="62"/>
  <c r="L20" i="62"/>
  <c r="F20" i="62"/>
  <c r="B20" i="62"/>
  <c r="X19" i="62"/>
  <c r="T19" i="62"/>
  <c r="Z19" i="62" s="1"/>
  <c r="P19" i="62"/>
  <c r="H19" i="62"/>
  <c r="F19" i="62"/>
  <c r="D19" i="62"/>
  <c r="L19" i="62" s="1"/>
  <c r="B19" i="62"/>
  <c r="T18" i="62"/>
  <c r="R18" i="62"/>
  <c r="P18" i="62"/>
  <c r="X18" i="62" s="1"/>
  <c r="N18" i="62"/>
  <c r="L18" i="62"/>
  <c r="H18" i="62"/>
  <c r="F18" i="62"/>
  <c r="D18" i="62"/>
  <c r="J16" i="62"/>
  <c r="H16" i="62"/>
  <c r="H91" i="62" s="1"/>
  <c r="F16" i="62"/>
  <c r="D16" i="62"/>
  <c r="L16" i="62" s="1"/>
  <c r="T14" i="62"/>
  <c r="Z14" i="62" s="1"/>
  <c r="R14" i="62"/>
  <c r="P14" i="62"/>
  <c r="X14" i="62" s="1"/>
  <c r="N14" i="62"/>
  <c r="L14" i="62"/>
  <c r="H14" i="62"/>
  <c r="F14" i="62"/>
  <c r="D14" i="62"/>
  <c r="Z12" i="62"/>
  <c r="T12" i="62"/>
  <c r="V73" i="62" s="1"/>
  <c r="P12" i="62"/>
  <c r="R98" i="62" s="1"/>
  <c r="L12" i="62"/>
  <c r="H12" i="62"/>
  <c r="J58" i="62" s="1"/>
  <c r="D12" i="62"/>
  <c r="D6" i="62"/>
  <c r="D4" i="62"/>
  <c r="J51" i="61"/>
  <c r="F48" i="61"/>
  <c r="Z46" i="61"/>
  <c r="X46" i="61"/>
  <c r="N46" i="61"/>
  <c r="L46" i="61"/>
  <c r="J46" i="61"/>
  <c r="F46" i="61"/>
  <c r="J44" i="61"/>
  <c r="T42" i="61"/>
  <c r="Z42" i="61" s="1"/>
  <c r="P42" i="61"/>
  <c r="X42" i="61" s="1"/>
  <c r="H42" i="61"/>
  <c r="N42" i="61" s="1"/>
  <c r="F42" i="61"/>
  <c r="D42" i="61"/>
  <c r="L42" i="61" s="1"/>
  <c r="Z40" i="61"/>
  <c r="X40" i="61"/>
  <c r="N40" i="61"/>
  <c r="L40" i="61"/>
  <c r="J40" i="61"/>
  <c r="F40" i="61"/>
  <c r="B40" i="61"/>
  <c r="T39" i="61"/>
  <c r="P39" i="61"/>
  <c r="X39" i="61" s="1"/>
  <c r="Z39" i="61" s="1"/>
  <c r="N39" i="61"/>
  <c r="L39" i="61"/>
  <c r="J39" i="61"/>
  <c r="H39" i="61"/>
  <c r="F39" i="61"/>
  <c r="D39" i="61"/>
  <c r="B39" i="61"/>
  <c r="Z38" i="61"/>
  <c r="X38" i="61"/>
  <c r="N38" i="61"/>
  <c r="L38" i="61"/>
  <c r="B38" i="61"/>
  <c r="Z37" i="61"/>
  <c r="X37" i="61"/>
  <c r="T37" i="61"/>
  <c r="P37" i="61"/>
  <c r="L37" i="61"/>
  <c r="J37" i="61"/>
  <c r="H37" i="61"/>
  <c r="N37" i="61" s="1"/>
  <c r="F37" i="61"/>
  <c r="D37" i="61"/>
  <c r="B37" i="61"/>
  <c r="Z36" i="61"/>
  <c r="X36" i="61"/>
  <c r="N36" i="61"/>
  <c r="L36" i="61"/>
  <c r="F36" i="61"/>
  <c r="B36" i="61"/>
  <c r="X35" i="61"/>
  <c r="T35" i="61"/>
  <c r="Z35" i="61" s="1"/>
  <c r="P35" i="61"/>
  <c r="H35" i="61"/>
  <c r="N35" i="61" s="1"/>
  <c r="F35" i="61"/>
  <c r="D35" i="61"/>
  <c r="L35" i="61" s="1"/>
  <c r="B35" i="61"/>
  <c r="X34" i="61"/>
  <c r="Z34" i="61" s="1"/>
  <c r="N34" i="61"/>
  <c r="L34" i="61"/>
  <c r="J34" i="61"/>
  <c r="F34" i="61"/>
  <c r="B34" i="61"/>
  <c r="T33" i="61"/>
  <c r="P33" i="61"/>
  <c r="H33" i="61"/>
  <c r="D33" i="61"/>
  <c r="L33" i="61" s="1"/>
  <c r="N33" i="61" s="1"/>
  <c r="B33" i="61"/>
  <c r="Z32" i="61"/>
  <c r="X32" i="61"/>
  <c r="N32" i="61"/>
  <c r="L32" i="61"/>
  <c r="J32" i="61"/>
  <c r="F32" i="61"/>
  <c r="B32" i="61"/>
  <c r="T31" i="61"/>
  <c r="P31" i="61"/>
  <c r="X31" i="61" s="1"/>
  <c r="Z31" i="61" s="1"/>
  <c r="L31" i="61"/>
  <c r="N31" i="61" s="1"/>
  <c r="J31" i="61"/>
  <c r="H31" i="61"/>
  <c r="F31" i="61"/>
  <c r="D31" i="61"/>
  <c r="B31" i="61"/>
  <c r="Z30" i="61"/>
  <c r="X30" i="61"/>
  <c r="L30" i="61"/>
  <c r="N30" i="61" s="1"/>
  <c r="B30" i="61"/>
  <c r="X29" i="61"/>
  <c r="Z29" i="61" s="1"/>
  <c r="N29" i="61"/>
  <c r="L29" i="61"/>
  <c r="F29" i="61"/>
  <c r="B29" i="61"/>
  <c r="Z28" i="61"/>
  <c r="X28" i="61"/>
  <c r="N28" i="61"/>
  <c r="L28" i="61"/>
  <c r="J28" i="61"/>
  <c r="F28" i="61"/>
  <c r="B28" i="61"/>
  <c r="T27" i="61"/>
  <c r="P27" i="61"/>
  <c r="X27" i="61" s="1"/>
  <c r="Z27" i="61" s="1"/>
  <c r="L27" i="61"/>
  <c r="N27" i="61" s="1"/>
  <c r="J27" i="61"/>
  <c r="H27" i="61"/>
  <c r="F27" i="61"/>
  <c r="D27" i="61"/>
  <c r="B27" i="61"/>
  <c r="Z26" i="61"/>
  <c r="X26" i="61"/>
  <c r="N26" i="61"/>
  <c r="L26" i="61"/>
  <c r="B26" i="61"/>
  <c r="X25" i="61"/>
  <c r="Z25" i="61" s="1"/>
  <c r="N25" i="61"/>
  <c r="L25" i="61"/>
  <c r="F25" i="61"/>
  <c r="B25" i="61"/>
  <c r="Z24" i="61"/>
  <c r="X24" i="61"/>
  <c r="N24" i="61"/>
  <c r="L24" i="61"/>
  <c r="J24" i="61"/>
  <c r="F24" i="61"/>
  <c r="B24" i="61"/>
  <c r="Z23" i="61"/>
  <c r="X23" i="61"/>
  <c r="L23" i="61"/>
  <c r="N23" i="61" s="1"/>
  <c r="J23" i="61"/>
  <c r="F23" i="61"/>
  <c r="B23" i="61"/>
  <c r="X22" i="61"/>
  <c r="Z22" i="61" s="1"/>
  <c r="N22" i="61"/>
  <c r="L22" i="61"/>
  <c r="J22" i="61"/>
  <c r="F22" i="61"/>
  <c r="B22" i="61"/>
  <c r="Z21" i="61"/>
  <c r="X21" i="61"/>
  <c r="R21" i="61"/>
  <c r="L21" i="61"/>
  <c r="N21" i="61" s="1"/>
  <c r="J21" i="61"/>
  <c r="B21" i="61"/>
  <c r="Z20" i="61"/>
  <c r="X20" i="61"/>
  <c r="V20" i="61"/>
  <c r="N20" i="61"/>
  <c r="L20" i="61"/>
  <c r="F20" i="61"/>
  <c r="B20" i="61"/>
  <c r="X19" i="61"/>
  <c r="T19" i="61"/>
  <c r="P19" i="61"/>
  <c r="H19" i="61"/>
  <c r="F19" i="61"/>
  <c r="D19" i="61"/>
  <c r="B19" i="61"/>
  <c r="T18" i="61"/>
  <c r="Z18" i="61" s="1"/>
  <c r="R18" i="61"/>
  <c r="P18" i="61"/>
  <c r="X18" i="61" s="1"/>
  <c r="N18" i="61"/>
  <c r="L18" i="61"/>
  <c r="H18" i="61"/>
  <c r="F18" i="61"/>
  <c r="D18" i="61"/>
  <c r="V16" i="61"/>
  <c r="J16" i="61"/>
  <c r="H16" i="61"/>
  <c r="H44" i="61" s="1"/>
  <c r="H48" i="61" s="1"/>
  <c r="F16" i="61"/>
  <c r="D16" i="61"/>
  <c r="D44" i="61" s="1"/>
  <c r="T14" i="61"/>
  <c r="Z14" i="61" s="1"/>
  <c r="R14" i="61"/>
  <c r="P14" i="61"/>
  <c r="X14" i="61" s="1"/>
  <c r="N14" i="61"/>
  <c r="L14" i="61"/>
  <c r="H14" i="61"/>
  <c r="F14" i="61"/>
  <c r="D14" i="61"/>
  <c r="T12" i="61"/>
  <c r="V42" i="61" s="1"/>
  <c r="P12" i="61"/>
  <c r="R48" i="61" s="1"/>
  <c r="L12" i="61"/>
  <c r="H12" i="61"/>
  <c r="J36" i="61" s="1"/>
  <c r="D12" i="61"/>
  <c r="F51" i="61" s="1"/>
  <c r="D6" i="61"/>
  <c r="D4" i="61"/>
  <c r="V47" i="60"/>
  <c r="R47" i="60"/>
  <c r="Z45" i="60"/>
  <c r="X45" i="60"/>
  <c r="N45" i="60"/>
  <c r="L45" i="60"/>
  <c r="V41" i="60"/>
  <c r="T41" i="60"/>
  <c r="Z41" i="60" s="1"/>
  <c r="R41" i="60"/>
  <c r="P41" i="60"/>
  <c r="X41" i="60" s="1"/>
  <c r="H41" i="60"/>
  <c r="N41" i="60" s="1"/>
  <c r="F41" i="60"/>
  <c r="D41" i="60"/>
  <c r="L41" i="60" s="1"/>
  <c r="Z39" i="60"/>
  <c r="X39" i="60"/>
  <c r="N39" i="60"/>
  <c r="L39" i="60"/>
  <c r="B39" i="60"/>
  <c r="Z38" i="60"/>
  <c r="T38" i="60"/>
  <c r="P38" i="60"/>
  <c r="X38" i="60" s="1"/>
  <c r="L38" i="60"/>
  <c r="N38" i="60" s="1"/>
  <c r="H38" i="60"/>
  <c r="D38" i="60"/>
  <c r="B38" i="60"/>
  <c r="Z37" i="60"/>
  <c r="X37" i="60"/>
  <c r="V37" i="60"/>
  <c r="R37" i="60"/>
  <c r="L37" i="60"/>
  <c r="N37" i="60" s="1"/>
  <c r="B37" i="60"/>
  <c r="Z36" i="60"/>
  <c r="X36" i="60"/>
  <c r="V36" i="60"/>
  <c r="N36" i="60"/>
  <c r="L36" i="60"/>
  <c r="F36" i="60"/>
  <c r="B36" i="60"/>
  <c r="X35" i="60"/>
  <c r="Z35" i="60" s="1"/>
  <c r="T35" i="60"/>
  <c r="P35" i="60"/>
  <c r="H35" i="60"/>
  <c r="D35" i="60"/>
  <c r="B35" i="60"/>
  <c r="X34" i="60"/>
  <c r="Z34" i="60" s="1"/>
  <c r="V34" i="60"/>
  <c r="R34" i="60"/>
  <c r="N34" i="60"/>
  <c r="L34" i="60"/>
  <c r="B34" i="60"/>
  <c r="Z33" i="60"/>
  <c r="X33" i="60"/>
  <c r="V33" i="60"/>
  <c r="R33" i="60"/>
  <c r="L33" i="60"/>
  <c r="N33" i="60" s="1"/>
  <c r="B33" i="60"/>
  <c r="X32" i="60"/>
  <c r="Z32" i="60" s="1"/>
  <c r="V32" i="60"/>
  <c r="T32" i="60"/>
  <c r="R32" i="60"/>
  <c r="P32" i="60"/>
  <c r="L32" i="60"/>
  <c r="H32" i="60"/>
  <c r="F32" i="60"/>
  <c r="D32" i="60"/>
  <c r="B32" i="60"/>
  <c r="Z31" i="60"/>
  <c r="X31" i="60"/>
  <c r="V31" i="60"/>
  <c r="R31" i="60"/>
  <c r="L31" i="60"/>
  <c r="N31" i="60" s="1"/>
  <c r="B31" i="60"/>
  <c r="V30" i="60"/>
  <c r="T30" i="60"/>
  <c r="R30" i="60"/>
  <c r="P30" i="60"/>
  <c r="H30" i="60"/>
  <c r="F30" i="60"/>
  <c r="D30" i="60"/>
  <c r="B30" i="60"/>
  <c r="X29" i="60"/>
  <c r="Z29" i="60" s="1"/>
  <c r="L29" i="60"/>
  <c r="N29" i="60" s="1"/>
  <c r="B29" i="60"/>
  <c r="T28" i="60"/>
  <c r="R28" i="60"/>
  <c r="P28" i="60"/>
  <c r="N28" i="60"/>
  <c r="H28" i="60"/>
  <c r="D28" i="60"/>
  <c r="L28" i="60" s="1"/>
  <c r="B28" i="60"/>
  <c r="Z27" i="60"/>
  <c r="X27" i="60"/>
  <c r="R27" i="60"/>
  <c r="N27" i="60"/>
  <c r="L27" i="60"/>
  <c r="B27" i="60"/>
  <c r="Z26" i="60"/>
  <c r="X26" i="60"/>
  <c r="L26" i="60"/>
  <c r="N26" i="60" s="1"/>
  <c r="B26" i="60"/>
  <c r="X25" i="60"/>
  <c r="Z25" i="60" s="1"/>
  <c r="L25" i="60"/>
  <c r="N25" i="60" s="1"/>
  <c r="B25" i="60"/>
  <c r="Z24" i="60"/>
  <c r="X24" i="60"/>
  <c r="R24" i="60"/>
  <c r="L24" i="60"/>
  <c r="N24" i="60" s="1"/>
  <c r="B24" i="60"/>
  <c r="Z23" i="60"/>
  <c r="X23" i="60"/>
  <c r="V23" i="60"/>
  <c r="R23" i="60"/>
  <c r="L23" i="60"/>
  <c r="N23" i="60" s="1"/>
  <c r="B23" i="60"/>
  <c r="X22" i="60"/>
  <c r="Z22" i="60" s="1"/>
  <c r="V22" i="60"/>
  <c r="R22" i="60"/>
  <c r="N22" i="60"/>
  <c r="L22" i="60"/>
  <c r="B22" i="60"/>
  <c r="Z21" i="60"/>
  <c r="X21" i="60"/>
  <c r="V21" i="60"/>
  <c r="R21" i="60"/>
  <c r="L21" i="60"/>
  <c r="N21" i="60" s="1"/>
  <c r="B21" i="60"/>
  <c r="X20" i="60"/>
  <c r="Z20" i="60" s="1"/>
  <c r="V20" i="60"/>
  <c r="N20" i="60"/>
  <c r="L20" i="60"/>
  <c r="B20" i="60"/>
  <c r="Z19" i="60"/>
  <c r="X19" i="60"/>
  <c r="T19" i="60"/>
  <c r="P19" i="60"/>
  <c r="H19" i="60"/>
  <c r="D19" i="60"/>
  <c r="B19" i="60"/>
  <c r="X18" i="60"/>
  <c r="V18" i="60"/>
  <c r="T18" i="60"/>
  <c r="R18" i="60"/>
  <c r="P18" i="60"/>
  <c r="H18" i="60"/>
  <c r="F18" i="60"/>
  <c r="D18" i="60"/>
  <c r="P16" i="60"/>
  <c r="X14" i="60"/>
  <c r="V14" i="60"/>
  <c r="T14" i="60"/>
  <c r="Z14" i="60" s="1"/>
  <c r="R14" i="60"/>
  <c r="P14" i="60"/>
  <c r="H14" i="60"/>
  <c r="N14" i="60" s="1"/>
  <c r="D14" i="60"/>
  <c r="Z12" i="60"/>
  <c r="T12" i="60"/>
  <c r="V50" i="60" s="1"/>
  <c r="P12" i="60"/>
  <c r="R36" i="60" s="1"/>
  <c r="H12" i="60"/>
  <c r="D12" i="60"/>
  <c r="F25" i="60" s="1"/>
  <c r="D6" i="60"/>
  <c r="D4" i="60"/>
  <c r="J53" i="59"/>
  <c r="F53" i="59"/>
  <c r="Z51" i="59"/>
  <c r="X51" i="59"/>
  <c r="N51" i="59"/>
  <c r="L51" i="59"/>
  <c r="J51" i="59"/>
  <c r="Z47" i="59"/>
  <c r="X47" i="59"/>
  <c r="V47" i="59"/>
  <c r="T47" i="59"/>
  <c r="P47" i="59"/>
  <c r="L47" i="59"/>
  <c r="J47" i="59"/>
  <c r="H47" i="59"/>
  <c r="N47" i="59" s="1"/>
  <c r="F47" i="59"/>
  <c r="D47" i="59"/>
  <c r="Z45" i="59"/>
  <c r="X45" i="59"/>
  <c r="N45" i="59"/>
  <c r="L45" i="59"/>
  <c r="J45" i="59"/>
  <c r="B45" i="59"/>
  <c r="Z44" i="59"/>
  <c r="X44" i="59"/>
  <c r="N44" i="59"/>
  <c r="L44" i="59"/>
  <c r="F44" i="59"/>
  <c r="B44" i="59"/>
  <c r="X43" i="59"/>
  <c r="V43" i="59"/>
  <c r="T43" i="59"/>
  <c r="P43" i="59"/>
  <c r="H43" i="59"/>
  <c r="F43" i="59"/>
  <c r="D43" i="59"/>
  <c r="B43" i="59"/>
  <c r="X42" i="59"/>
  <c r="Z42" i="59" s="1"/>
  <c r="L42" i="59"/>
  <c r="N42" i="59" s="1"/>
  <c r="J42" i="59"/>
  <c r="F42" i="59"/>
  <c r="B42" i="59"/>
  <c r="T41" i="59"/>
  <c r="P41" i="59"/>
  <c r="X41" i="59" s="1"/>
  <c r="H41" i="59"/>
  <c r="D41" i="59"/>
  <c r="L41" i="59" s="1"/>
  <c r="N41" i="59" s="1"/>
  <c r="B41" i="59"/>
  <c r="Z40" i="59"/>
  <c r="X40" i="59"/>
  <c r="N40" i="59"/>
  <c r="L40" i="59"/>
  <c r="J40" i="59"/>
  <c r="F40" i="59"/>
  <c r="B40" i="59"/>
  <c r="Z39" i="59"/>
  <c r="X39" i="59"/>
  <c r="L39" i="59"/>
  <c r="N39" i="59" s="1"/>
  <c r="J39" i="59"/>
  <c r="F39" i="59"/>
  <c r="B39" i="59"/>
  <c r="Z38" i="59"/>
  <c r="X38" i="59"/>
  <c r="N38" i="59"/>
  <c r="L38" i="59"/>
  <c r="J38" i="59"/>
  <c r="F38" i="59"/>
  <c r="B38" i="59"/>
  <c r="T37" i="59"/>
  <c r="P37" i="59"/>
  <c r="X37" i="59" s="1"/>
  <c r="N37" i="59"/>
  <c r="H37" i="59"/>
  <c r="D37" i="59"/>
  <c r="L37" i="59" s="1"/>
  <c r="B37" i="59"/>
  <c r="Z36" i="59"/>
  <c r="X36" i="59"/>
  <c r="N36" i="59"/>
  <c r="L36" i="59"/>
  <c r="J36" i="59"/>
  <c r="F36" i="59"/>
  <c r="B36" i="59"/>
  <c r="Z35" i="59"/>
  <c r="T35" i="59"/>
  <c r="P35" i="59"/>
  <c r="X35" i="59" s="1"/>
  <c r="L35" i="59"/>
  <c r="N35" i="59" s="1"/>
  <c r="J35" i="59"/>
  <c r="H35" i="59"/>
  <c r="F35" i="59"/>
  <c r="D35" i="59"/>
  <c r="B35" i="59"/>
  <c r="X34" i="59"/>
  <c r="Z34" i="59" s="1"/>
  <c r="V34" i="59"/>
  <c r="L34" i="59"/>
  <c r="N34" i="59" s="1"/>
  <c r="B34" i="59"/>
  <c r="X33" i="59"/>
  <c r="Z33" i="59" s="1"/>
  <c r="T33" i="59"/>
  <c r="P33" i="59"/>
  <c r="J33" i="59"/>
  <c r="H33" i="59"/>
  <c r="F33" i="59"/>
  <c r="D33" i="59"/>
  <c r="B33" i="59"/>
  <c r="Z32" i="59"/>
  <c r="X32" i="59"/>
  <c r="N32" i="59"/>
  <c r="L32" i="59"/>
  <c r="F32" i="59"/>
  <c r="B32" i="59"/>
  <c r="X31" i="59"/>
  <c r="Z31" i="59" s="1"/>
  <c r="V31" i="59"/>
  <c r="N31" i="59"/>
  <c r="L31" i="59"/>
  <c r="B31" i="59"/>
  <c r="Z30" i="59"/>
  <c r="X30" i="59"/>
  <c r="L30" i="59"/>
  <c r="N30" i="59" s="1"/>
  <c r="B30" i="59"/>
  <c r="Z29" i="59"/>
  <c r="X29" i="59"/>
  <c r="V29" i="59"/>
  <c r="T29" i="59"/>
  <c r="P29" i="59"/>
  <c r="L29" i="59"/>
  <c r="J29" i="59"/>
  <c r="H29" i="59"/>
  <c r="F29" i="59"/>
  <c r="D29" i="59"/>
  <c r="B29" i="59"/>
  <c r="Z28" i="59"/>
  <c r="X28" i="59"/>
  <c r="V28" i="59"/>
  <c r="L28" i="59"/>
  <c r="N28" i="59" s="1"/>
  <c r="F28" i="59"/>
  <c r="B28" i="59"/>
  <c r="X27" i="59"/>
  <c r="Z27" i="59" s="1"/>
  <c r="N27" i="59"/>
  <c r="L27" i="59"/>
  <c r="F27" i="59"/>
  <c r="B27" i="59"/>
  <c r="Z26" i="59"/>
  <c r="X26" i="59"/>
  <c r="L26" i="59"/>
  <c r="N26" i="59" s="1"/>
  <c r="B26" i="59"/>
  <c r="Z25" i="59"/>
  <c r="X25" i="59"/>
  <c r="V25" i="59"/>
  <c r="N25" i="59"/>
  <c r="L25" i="59"/>
  <c r="F25" i="59"/>
  <c r="B25" i="59"/>
  <c r="X24" i="59"/>
  <c r="Z24" i="59" s="1"/>
  <c r="N24" i="59"/>
  <c r="L24" i="59"/>
  <c r="J24" i="59"/>
  <c r="F24" i="59"/>
  <c r="B24" i="59"/>
  <c r="Z23" i="59"/>
  <c r="X23" i="59"/>
  <c r="L23" i="59"/>
  <c r="N23" i="59" s="1"/>
  <c r="J23" i="59"/>
  <c r="F23" i="59"/>
  <c r="B23" i="59"/>
  <c r="X22" i="59"/>
  <c r="Z22" i="59" s="1"/>
  <c r="N22" i="59"/>
  <c r="L22" i="59"/>
  <c r="J22" i="59"/>
  <c r="F22" i="59"/>
  <c r="B22" i="59"/>
  <c r="Z21" i="59"/>
  <c r="X21" i="59"/>
  <c r="N21" i="59"/>
  <c r="L21" i="59"/>
  <c r="J21" i="59"/>
  <c r="B21" i="59"/>
  <c r="Z20" i="59"/>
  <c r="X20" i="59"/>
  <c r="N20" i="59"/>
  <c r="L20" i="59"/>
  <c r="F20" i="59"/>
  <c r="B20" i="59"/>
  <c r="X19" i="59"/>
  <c r="V19" i="59"/>
  <c r="T19" i="59"/>
  <c r="P19" i="59"/>
  <c r="H19" i="59"/>
  <c r="F19" i="59"/>
  <c r="D19" i="59"/>
  <c r="L19" i="59" s="1"/>
  <c r="B19" i="59"/>
  <c r="T18" i="59"/>
  <c r="Z18" i="59" s="1"/>
  <c r="P18" i="59"/>
  <c r="X18" i="59" s="1"/>
  <c r="N18" i="59"/>
  <c r="L18" i="59"/>
  <c r="H18" i="59"/>
  <c r="F18" i="59"/>
  <c r="D18" i="59"/>
  <c r="T16" i="59"/>
  <c r="J16" i="59"/>
  <c r="H16" i="59"/>
  <c r="F16" i="59"/>
  <c r="D16" i="59"/>
  <c r="L16" i="59" s="1"/>
  <c r="T14" i="59"/>
  <c r="Z14" i="59" s="1"/>
  <c r="P14" i="59"/>
  <c r="X14" i="59" s="1"/>
  <c r="N14" i="59"/>
  <c r="L14" i="59"/>
  <c r="H14" i="59"/>
  <c r="F14" i="59"/>
  <c r="D14" i="59"/>
  <c r="Z12" i="59"/>
  <c r="T12" i="59"/>
  <c r="P12" i="59"/>
  <c r="L12" i="59"/>
  <c r="H12" i="59"/>
  <c r="J44" i="59" s="1"/>
  <c r="D12" i="59"/>
  <c r="F51" i="59" s="1"/>
  <c r="D6" i="59"/>
  <c r="D4" i="59"/>
  <c r="F66" i="58"/>
  <c r="Z64" i="58"/>
  <c r="X64" i="58"/>
  <c r="N64" i="58"/>
  <c r="L64" i="58"/>
  <c r="T60" i="58"/>
  <c r="Z60" i="58" s="1"/>
  <c r="R60" i="58"/>
  <c r="P60" i="58"/>
  <c r="H60" i="58"/>
  <c r="N60" i="58" s="1"/>
  <c r="D60" i="58"/>
  <c r="L60" i="58" s="1"/>
  <c r="X58" i="58"/>
  <c r="Z58" i="58" s="1"/>
  <c r="R58" i="58"/>
  <c r="N58" i="58"/>
  <c r="L58" i="58"/>
  <c r="B58" i="58"/>
  <c r="T57" i="58"/>
  <c r="P57" i="58"/>
  <c r="X57" i="58" s="1"/>
  <c r="Z57" i="58" s="1"/>
  <c r="L57" i="58"/>
  <c r="N57" i="58" s="1"/>
  <c r="H57" i="58"/>
  <c r="D57" i="58"/>
  <c r="B57" i="58"/>
  <c r="Z56" i="58"/>
  <c r="X56" i="58"/>
  <c r="L56" i="58"/>
  <c r="N56" i="58" s="1"/>
  <c r="B56" i="58"/>
  <c r="X55" i="58"/>
  <c r="Z55" i="58" s="1"/>
  <c r="T55" i="58"/>
  <c r="P55" i="58"/>
  <c r="L55" i="58"/>
  <c r="H55" i="58"/>
  <c r="F55" i="58"/>
  <c r="D55" i="58"/>
  <c r="B55" i="58"/>
  <c r="Z54" i="58"/>
  <c r="X54" i="58"/>
  <c r="N54" i="58"/>
  <c r="L54" i="58"/>
  <c r="B54" i="58"/>
  <c r="X53" i="58"/>
  <c r="Z53" i="58" s="1"/>
  <c r="R53" i="58"/>
  <c r="N53" i="58"/>
  <c r="L53" i="58"/>
  <c r="J53" i="58"/>
  <c r="B53" i="58"/>
  <c r="X52" i="58"/>
  <c r="Z52" i="58" s="1"/>
  <c r="R52" i="58"/>
  <c r="L52" i="58"/>
  <c r="N52" i="58" s="1"/>
  <c r="B52" i="58"/>
  <c r="Z51" i="58"/>
  <c r="X51" i="58"/>
  <c r="N51" i="58"/>
  <c r="L51" i="58"/>
  <c r="F51" i="58"/>
  <c r="B51" i="58"/>
  <c r="X50" i="58"/>
  <c r="Z50" i="58" s="1"/>
  <c r="T50" i="58"/>
  <c r="P50" i="58"/>
  <c r="J50" i="58"/>
  <c r="H50" i="58"/>
  <c r="D50" i="58"/>
  <c r="L50" i="58" s="1"/>
  <c r="N50" i="58" s="1"/>
  <c r="B50" i="58"/>
  <c r="Z49" i="58"/>
  <c r="X49" i="58"/>
  <c r="N49" i="58"/>
  <c r="L49" i="58"/>
  <c r="B49" i="58"/>
  <c r="Z48" i="58"/>
  <c r="T48" i="58"/>
  <c r="P48" i="58"/>
  <c r="X48" i="58" s="1"/>
  <c r="H48" i="58"/>
  <c r="N48" i="58" s="1"/>
  <c r="F48" i="58"/>
  <c r="D48" i="58"/>
  <c r="B48" i="58"/>
  <c r="Z47" i="58"/>
  <c r="X47" i="58"/>
  <c r="R47" i="58"/>
  <c r="N47" i="58"/>
  <c r="L47" i="58"/>
  <c r="J47" i="58"/>
  <c r="B47" i="58"/>
  <c r="Z46" i="58"/>
  <c r="X46" i="58"/>
  <c r="R46" i="58"/>
  <c r="L46" i="58"/>
  <c r="N46" i="58" s="1"/>
  <c r="F46" i="58"/>
  <c r="B46" i="58"/>
  <c r="T45" i="58"/>
  <c r="R45" i="58"/>
  <c r="P45" i="58"/>
  <c r="L45" i="58"/>
  <c r="N45" i="58" s="1"/>
  <c r="H45" i="58"/>
  <c r="D45" i="58"/>
  <c r="B45" i="58"/>
  <c r="X44" i="58"/>
  <c r="Z44" i="58" s="1"/>
  <c r="L44" i="58"/>
  <c r="N44" i="58" s="1"/>
  <c r="B44" i="58"/>
  <c r="Z43" i="58"/>
  <c r="X43" i="58"/>
  <c r="N43" i="58"/>
  <c r="L43" i="58"/>
  <c r="B43" i="58"/>
  <c r="T42" i="58"/>
  <c r="P42" i="58"/>
  <c r="L42" i="58"/>
  <c r="H42" i="58"/>
  <c r="D42" i="58"/>
  <c r="B42" i="58"/>
  <c r="Z41" i="58"/>
  <c r="X41" i="58"/>
  <c r="V41" i="58"/>
  <c r="L41" i="58"/>
  <c r="N41" i="58" s="1"/>
  <c r="B41" i="58"/>
  <c r="T40" i="58"/>
  <c r="Z40" i="58" s="1"/>
  <c r="P40" i="58"/>
  <c r="X40" i="58" s="1"/>
  <c r="H40" i="58"/>
  <c r="N40" i="58" s="1"/>
  <c r="D40" i="58"/>
  <c r="L40" i="58" s="1"/>
  <c r="B40" i="58"/>
  <c r="Z39" i="58"/>
  <c r="X39" i="58"/>
  <c r="L39" i="58"/>
  <c r="N39" i="58" s="1"/>
  <c r="B39" i="58"/>
  <c r="T38" i="58"/>
  <c r="P38" i="58"/>
  <c r="X38" i="58" s="1"/>
  <c r="L38" i="58"/>
  <c r="J38" i="58"/>
  <c r="H38" i="58"/>
  <c r="N38" i="58" s="1"/>
  <c r="D38" i="58"/>
  <c r="B38" i="58"/>
  <c r="X37" i="58"/>
  <c r="Z37" i="58" s="1"/>
  <c r="R37" i="58"/>
  <c r="N37" i="58"/>
  <c r="L37" i="58"/>
  <c r="B37" i="58"/>
  <c r="T36" i="58"/>
  <c r="P36" i="58"/>
  <c r="X36" i="58" s="1"/>
  <c r="J36" i="58"/>
  <c r="H36" i="58"/>
  <c r="D36" i="58"/>
  <c r="L36" i="58" s="1"/>
  <c r="N36" i="58" s="1"/>
  <c r="B36" i="58"/>
  <c r="X35" i="58"/>
  <c r="Z35" i="58" s="1"/>
  <c r="R35" i="58"/>
  <c r="N35" i="58"/>
  <c r="L35" i="58"/>
  <c r="J35" i="58"/>
  <c r="B35" i="58"/>
  <c r="T34" i="58"/>
  <c r="R34" i="58"/>
  <c r="P34" i="58"/>
  <c r="X34" i="58" s="1"/>
  <c r="Z34" i="58" s="1"/>
  <c r="N34" i="58"/>
  <c r="H34" i="58"/>
  <c r="L34" i="58" s="1"/>
  <c r="F34" i="58"/>
  <c r="D34" i="58"/>
  <c r="B34" i="58"/>
  <c r="Z33" i="58"/>
  <c r="X33" i="58"/>
  <c r="R33" i="58"/>
  <c r="L33" i="58"/>
  <c r="N33" i="58" s="1"/>
  <c r="B33" i="58"/>
  <c r="Z32" i="58"/>
  <c r="X32" i="58"/>
  <c r="N32" i="58"/>
  <c r="L32" i="58"/>
  <c r="F32" i="58"/>
  <c r="B32" i="58"/>
  <c r="X31" i="58"/>
  <c r="Z31" i="58" s="1"/>
  <c r="R31" i="58"/>
  <c r="L31" i="58"/>
  <c r="N31" i="58" s="1"/>
  <c r="J31" i="58"/>
  <c r="B31" i="58"/>
  <c r="Z30" i="58"/>
  <c r="X30" i="58"/>
  <c r="L30" i="58"/>
  <c r="N30" i="58" s="1"/>
  <c r="B30" i="58"/>
  <c r="X29" i="58"/>
  <c r="T29" i="58"/>
  <c r="Z29" i="58" s="1"/>
  <c r="R29" i="58"/>
  <c r="P29" i="58"/>
  <c r="H29" i="58"/>
  <c r="D29" i="58"/>
  <c r="L29" i="58" s="1"/>
  <c r="B29" i="58"/>
  <c r="Z28" i="58"/>
  <c r="X28" i="58"/>
  <c r="R28" i="58"/>
  <c r="N28" i="58"/>
  <c r="L28" i="58"/>
  <c r="F28" i="58"/>
  <c r="B28" i="58"/>
  <c r="X27" i="58"/>
  <c r="Z27" i="58" s="1"/>
  <c r="R27" i="58"/>
  <c r="L27" i="58"/>
  <c r="N27" i="58" s="1"/>
  <c r="J27" i="58"/>
  <c r="B27" i="58"/>
  <c r="Z26" i="58"/>
  <c r="X26" i="58"/>
  <c r="L26" i="58"/>
  <c r="N26" i="58" s="1"/>
  <c r="B26" i="58"/>
  <c r="X25" i="58"/>
  <c r="Z25" i="58" s="1"/>
  <c r="R25" i="58"/>
  <c r="N25" i="58"/>
  <c r="L25" i="58"/>
  <c r="F25" i="58"/>
  <c r="B25" i="58"/>
  <c r="Z24" i="58"/>
  <c r="X24" i="58"/>
  <c r="R24" i="58"/>
  <c r="N24" i="58"/>
  <c r="L24" i="58"/>
  <c r="B24" i="58"/>
  <c r="X23" i="58"/>
  <c r="Z23" i="58" s="1"/>
  <c r="V23" i="58"/>
  <c r="R23" i="58"/>
  <c r="L23" i="58"/>
  <c r="N23" i="58" s="1"/>
  <c r="F23" i="58"/>
  <c r="B23" i="58"/>
  <c r="X22" i="58"/>
  <c r="Z22" i="58" s="1"/>
  <c r="N22" i="58"/>
  <c r="L22" i="58"/>
  <c r="J22" i="58"/>
  <c r="B22" i="58"/>
  <c r="Z21" i="58"/>
  <c r="X21" i="58"/>
  <c r="R21" i="58"/>
  <c r="L21" i="58"/>
  <c r="N21" i="58" s="1"/>
  <c r="F21" i="58"/>
  <c r="B21" i="58"/>
  <c r="Z20" i="58"/>
  <c r="X20" i="58"/>
  <c r="R20" i="58"/>
  <c r="N20" i="58"/>
  <c r="L20" i="58"/>
  <c r="J20" i="58"/>
  <c r="F20" i="58"/>
  <c r="B20" i="58"/>
  <c r="T19" i="58"/>
  <c r="P19" i="58"/>
  <c r="X19" i="58" s="1"/>
  <c r="N19" i="58"/>
  <c r="H19" i="58"/>
  <c r="D19" i="58"/>
  <c r="L19" i="58" s="1"/>
  <c r="B19" i="58"/>
  <c r="X18" i="58"/>
  <c r="Z18" i="58" s="1"/>
  <c r="T18" i="58"/>
  <c r="R18" i="58"/>
  <c r="P18" i="58"/>
  <c r="J18" i="58"/>
  <c r="H18" i="58"/>
  <c r="F18" i="58"/>
  <c r="D18" i="58"/>
  <c r="R16" i="58"/>
  <c r="P16" i="58"/>
  <c r="J16" i="58"/>
  <c r="F16" i="58"/>
  <c r="Z14" i="58"/>
  <c r="X14" i="58"/>
  <c r="T14" i="58"/>
  <c r="R14" i="58"/>
  <c r="P14" i="58"/>
  <c r="J14" i="58"/>
  <c r="H14" i="58"/>
  <c r="N14" i="58" s="1"/>
  <c r="F14" i="58"/>
  <c r="D14" i="58"/>
  <c r="L14" i="58" s="1"/>
  <c r="T12" i="58"/>
  <c r="V60" i="58" s="1"/>
  <c r="P12" i="58"/>
  <c r="N12" i="58"/>
  <c r="L12" i="58"/>
  <c r="H12" i="58"/>
  <c r="J69" i="58" s="1"/>
  <c r="D12" i="58"/>
  <c r="F42" i="58" s="1"/>
  <c r="D6" i="58"/>
  <c r="D4" i="58"/>
  <c r="J66" i="57"/>
  <c r="R63" i="57"/>
  <c r="Z61" i="57"/>
  <c r="X61" i="57"/>
  <c r="R61" i="57"/>
  <c r="N61" i="57"/>
  <c r="L61" i="57"/>
  <c r="J59" i="57"/>
  <c r="T57" i="57"/>
  <c r="Z57" i="57" s="1"/>
  <c r="R57" i="57"/>
  <c r="P57" i="57"/>
  <c r="N57" i="57"/>
  <c r="L57" i="57"/>
  <c r="H57" i="57"/>
  <c r="D57" i="57"/>
  <c r="Z55" i="57"/>
  <c r="X55" i="57"/>
  <c r="R55" i="57"/>
  <c r="N55" i="57"/>
  <c r="L55" i="57"/>
  <c r="B55" i="57"/>
  <c r="X54" i="57"/>
  <c r="V54" i="57"/>
  <c r="T54" i="57"/>
  <c r="Z54" i="57" s="1"/>
  <c r="P54" i="57"/>
  <c r="L54" i="57"/>
  <c r="H54" i="57"/>
  <c r="N54" i="57" s="1"/>
  <c r="D54" i="57"/>
  <c r="B54" i="57"/>
  <c r="X53" i="57"/>
  <c r="Z53" i="57" s="1"/>
  <c r="L53" i="57"/>
  <c r="N53" i="57" s="1"/>
  <c r="B53" i="57"/>
  <c r="X52" i="57"/>
  <c r="T52" i="57"/>
  <c r="Z52" i="57" s="1"/>
  <c r="R52" i="57"/>
  <c r="P52" i="57"/>
  <c r="H52" i="57"/>
  <c r="D52" i="57"/>
  <c r="L52" i="57" s="1"/>
  <c r="B52" i="57"/>
  <c r="Z51" i="57"/>
  <c r="X51" i="57"/>
  <c r="N51" i="57"/>
  <c r="L51" i="57"/>
  <c r="B51" i="57"/>
  <c r="T50" i="57"/>
  <c r="P50" i="57"/>
  <c r="X50" i="57" s="1"/>
  <c r="H50" i="57"/>
  <c r="D50" i="57"/>
  <c r="L50" i="57" s="1"/>
  <c r="N50" i="57" s="1"/>
  <c r="B50" i="57"/>
  <c r="X49" i="57"/>
  <c r="Z49" i="57" s="1"/>
  <c r="N49" i="57"/>
  <c r="L49" i="57"/>
  <c r="J49" i="57"/>
  <c r="B49" i="57"/>
  <c r="Z48" i="57"/>
  <c r="X48" i="57"/>
  <c r="N48" i="57"/>
  <c r="L48" i="57"/>
  <c r="B48" i="57"/>
  <c r="T47" i="57"/>
  <c r="R47" i="57"/>
  <c r="P47" i="57"/>
  <c r="L47" i="57"/>
  <c r="N47" i="57" s="1"/>
  <c r="H47" i="57"/>
  <c r="D47" i="57"/>
  <c r="B47" i="57"/>
  <c r="X46" i="57"/>
  <c r="Z46" i="57" s="1"/>
  <c r="V46" i="57"/>
  <c r="L46" i="57"/>
  <c r="N46" i="57" s="1"/>
  <c r="B46" i="57"/>
  <c r="X45" i="57"/>
  <c r="Z45" i="57" s="1"/>
  <c r="T45" i="57"/>
  <c r="P45" i="57"/>
  <c r="H45" i="57"/>
  <c r="D45" i="57"/>
  <c r="L45" i="57" s="1"/>
  <c r="B45" i="57"/>
  <c r="Z44" i="57"/>
  <c r="X44" i="57"/>
  <c r="N44" i="57"/>
  <c r="L44" i="57"/>
  <c r="B44" i="57"/>
  <c r="Z43" i="57"/>
  <c r="X43" i="57"/>
  <c r="R43" i="57"/>
  <c r="N43" i="57"/>
  <c r="L43" i="57"/>
  <c r="B43" i="57"/>
  <c r="X42" i="57"/>
  <c r="Z42" i="57" s="1"/>
  <c r="L42" i="57"/>
  <c r="N42" i="57" s="1"/>
  <c r="B42" i="57"/>
  <c r="X41" i="57"/>
  <c r="Z41" i="57" s="1"/>
  <c r="T41" i="57"/>
  <c r="P41" i="57"/>
  <c r="H41" i="57"/>
  <c r="D41" i="57"/>
  <c r="L41" i="57" s="1"/>
  <c r="B41" i="57"/>
  <c r="X40" i="57"/>
  <c r="Z40" i="57" s="1"/>
  <c r="N40" i="57"/>
  <c r="L40" i="57"/>
  <c r="B40" i="57"/>
  <c r="T39" i="57"/>
  <c r="P39" i="57"/>
  <c r="X39" i="57" s="1"/>
  <c r="J39" i="57"/>
  <c r="H39" i="57"/>
  <c r="D39" i="57"/>
  <c r="L39" i="57" s="1"/>
  <c r="N39" i="57" s="1"/>
  <c r="B39" i="57"/>
  <c r="X38" i="57"/>
  <c r="Z38" i="57" s="1"/>
  <c r="R38" i="57"/>
  <c r="L38" i="57"/>
  <c r="N38" i="57" s="1"/>
  <c r="J38" i="57"/>
  <c r="B38" i="57"/>
  <c r="X37" i="57"/>
  <c r="Z37" i="57" s="1"/>
  <c r="N37" i="57"/>
  <c r="L37" i="57"/>
  <c r="B37" i="57"/>
  <c r="X36" i="57"/>
  <c r="Z36" i="57" s="1"/>
  <c r="T36" i="57"/>
  <c r="R36" i="57"/>
  <c r="P36" i="57"/>
  <c r="H36" i="57"/>
  <c r="N36" i="57" s="1"/>
  <c r="D36" i="57"/>
  <c r="L36" i="57" s="1"/>
  <c r="B36" i="57"/>
  <c r="Z35" i="57"/>
  <c r="X35" i="57"/>
  <c r="N35" i="57"/>
  <c r="L35" i="57"/>
  <c r="B35" i="57"/>
  <c r="T34" i="57"/>
  <c r="P34" i="57"/>
  <c r="X34" i="57" s="1"/>
  <c r="N34" i="57"/>
  <c r="H34" i="57"/>
  <c r="D34" i="57"/>
  <c r="L34" i="57" s="1"/>
  <c r="B34" i="57"/>
  <c r="X33" i="57"/>
  <c r="Z33" i="57" s="1"/>
  <c r="L33" i="57"/>
  <c r="N33" i="57" s="1"/>
  <c r="J33" i="57"/>
  <c r="B33" i="57"/>
  <c r="Z32" i="57"/>
  <c r="T32" i="57"/>
  <c r="P32" i="57"/>
  <c r="X32" i="57" s="1"/>
  <c r="L32" i="57"/>
  <c r="J32" i="57"/>
  <c r="H32" i="57"/>
  <c r="N32" i="57" s="1"/>
  <c r="D32" i="57"/>
  <c r="B32" i="57"/>
  <c r="Z31" i="57"/>
  <c r="X31" i="57"/>
  <c r="R31" i="57"/>
  <c r="N31" i="57"/>
  <c r="L31" i="57"/>
  <c r="B31" i="57"/>
  <c r="X30" i="57"/>
  <c r="Z30" i="57" s="1"/>
  <c r="L30" i="57"/>
  <c r="N30" i="57" s="1"/>
  <c r="B30" i="57"/>
  <c r="X29" i="57"/>
  <c r="Z29" i="57" s="1"/>
  <c r="L29" i="57"/>
  <c r="N29" i="57" s="1"/>
  <c r="J29" i="57"/>
  <c r="B29" i="57"/>
  <c r="T28" i="57"/>
  <c r="P28" i="57"/>
  <c r="X28" i="57" s="1"/>
  <c r="Z28" i="57" s="1"/>
  <c r="L28" i="57"/>
  <c r="J28" i="57"/>
  <c r="H28" i="57"/>
  <c r="N28" i="57" s="1"/>
  <c r="D28" i="57"/>
  <c r="B28" i="57"/>
  <c r="Z27" i="57"/>
  <c r="X27" i="57"/>
  <c r="R27" i="57"/>
  <c r="N27" i="57"/>
  <c r="L27" i="57"/>
  <c r="B27" i="57"/>
  <c r="X26" i="57"/>
  <c r="Z26" i="57" s="1"/>
  <c r="L26" i="57"/>
  <c r="N26" i="57" s="1"/>
  <c r="B26" i="57"/>
  <c r="X25" i="57"/>
  <c r="Z25" i="57" s="1"/>
  <c r="L25" i="57"/>
  <c r="N25" i="57" s="1"/>
  <c r="J25" i="57"/>
  <c r="B25" i="57"/>
  <c r="Z24" i="57"/>
  <c r="X24" i="57"/>
  <c r="L24" i="57"/>
  <c r="N24" i="57" s="1"/>
  <c r="B24" i="57"/>
  <c r="Z23" i="57"/>
  <c r="X23" i="57"/>
  <c r="N23" i="57"/>
  <c r="L23" i="57"/>
  <c r="B23" i="57"/>
  <c r="X22" i="57"/>
  <c r="Z22" i="57" s="1"/>
  <c r="R22" i="57"/>
  <c r="L22" i="57"/>
  <c r="N22" i="57" s="1"/>
  <c r="J22" i="57"/>
  <c r="B22" i="57"/>
  <c r="X21" i="57"/>
  <c r="Z21" i="57" s="1"/>
  <c r="V21" i="57"/>
  <c r="L21" i="57"/>
  <c r="N21" i="57" s="1"/>
  <c r="B21" i="57"/>
  <c r="X20" i="57"/>
  <c r="Z20" i="57" s="1"/>
  <c r="R20" i="57"/>
  <c r="N20" i="57"/>
  <c r="L20" i="57"/>
  <c r="B20" i="57"/>
  <c r="T19" i="57"/>
  <c r="P19" i="57"/>
  <c r="J19" i="57"/>
  <c r="H19" i="57"/>
  <c r="D19" i="57"/>
  <c r="L19" i="57" s="1"/>
  <c r="N19" i="57" s="1"/>
  <c r="B19" i="57"/>
  <c r="T18" i="57"/>
  <c r="P18" i="57"/>
  <c r="H18" i="57"/>
  <c r="D18" i="57"/>
  <c r="L18" i="57" s="1"/>
  <c r="N18" i="57" s="1"/>
  <c r="V16" i="57"/>
  <c r="H16" i="57"/>
  <c r="N16" i="57" s="1"/>
  <c r="F16" i="57"/>
  <c r="T14" i="57"/>
  <c r="Z14" i="57" s="1"/>
  <c r="P14" i="57"/>
  <c r="P16" i="57" s="1"/>
  <c r="N14" i="57"/>
  <c r="H14" i="57"/>
  <c r="D14" i="57"/>
  <c r="L14" i="57" s="1"/>
  <c r="T12" i="57"/>
  <c r="V42" i="57" s="1"/>
  <c r="P12" i="57"/>
  <c r="R66" i="57" s="1"/>
  <c r="H12" i="57"/>
  <c r="J63" i="57" s="1"/>
  <c r="D12" i="57"/>
  <c r="F51" i="57" s="1"/>
  <c r="D6" i="57"/>
  <c r="D4" i="57"/>
  <c r="R61" i="56"/>
  <c r="Z59" i="56"/>
  <c r="X59" i="56"/>
  <c r="N59" i="56"/>
  <c r="L59" i="56"/>
  <c r="X55" i="56"/>
  <c r="T55" i="56"/>
  <c r="Z55" i="56" s="1"/>
  <c r="R55" i="56"/>
  <c r="P55" i="56"/>
  <c r="H55" i="56"/>
  <c r="N55" i="56" s="1"/>
  <c r="D55" i="56"/>
  <c r="Z53" i="56"/>
  <c r="X53" i="56"/>
  <c r="L53" i="56"/>
  <c r="N53" i="56" s="1"/>
  <c r="B53" i="56"/>
  <c r="T52" i="56"/>
  <c r="R52" i="56"/>
  <c r="P52" i="56"/>
  <c r="X52" i="56" s="1"/>
  <c r="L52" i="56"/>
  <c r="N52" i="56" s="1"/>
  <c r="H52" i="56"/>
  <c r="D52" i="56"/>
  <c r="B52" i="56"/>
  <c r="X51" i="56"/>
  <c r="Z51" i="56" s="1"/>
  <c r="V51" i="56"/>
  <c r="L51" i="56"/>
  <c r="N51" i="56" s="1"/>
  <c r="F51" i="56"/>
  <c r="B51" i="56"/>
  <c r="X50" i="56"/>
  <c r="Z50" i="56" s="1"/>
  <c r="N50" i="56"/>
  <c r="L50" i="56"/>
  <c r="B50" i="56"/>
  <c r="Z49" i="56"/>
  <c r="T49" i="56"/>
  <c r="P49" i="56"/>
  <c r="X49" i="56" s="1"/>
  <c r="L49" i="56"/>
  <c r="H49" i="56"/>
  <c r="N49" i="56" s="1"/>
  <c r="D49" i="56"/>
  <c r="B49" i="56"/>
  <c r="Z48" i="56"/>
  <c r="X48" i="56"/>
  <c r="R48" i="56"/>
  <c r="N48" i="56"/>
  <c r="L48" i="56"/>
  <c r="B48" i="56"/>
  <c r="X47" i="56"/>
  <c r="V47" i="56"/>
  <c r="T47" i="56"/>
  <c r="Z47" i="56" s="1"/>
  <c r="P47" i="56"/>
  <c r="L47" i="56"/>
  <c r="H47" i="56"/>
  <c r="N47" i="56" s="1"/>
  <c r="F47" i="56"/>
  <c r="D47" i="56"/>
  <c r="B47" i="56"/>
  <c r="Z46" i="56"/>
  <c r="X46" i="56"/>
  <c r="V46" i="56"/>
  <c r="N46" i="56"/>
  <c r="L46" i="56"/>
  <c r="B46" i="56"/>
  <c r="X45" i="56"/>
  <c r="Z45" i="56" s="1"/>
  <c r="N45" i="56"/>
  <c r="L45" i="56"/>
  <c r="B45" i="56"/>
  <c r="Z44" i="56"/>
  <c r="T44" i="56"/>
  <c r="P44" i="56"/>
  <c r="X44" i="56" s="1"/>
  <c r="H44" i="56"/>
  <c r="D44" i="56"/>
  <c r="L44" i="56" s="1"/>
  <c r="N44" i="56" s="1"/>
  <c r="B44" i="56"/>
  <c r="X43" i="56"/>
  <c r="Z43" i="56" s="1"/>
  <c r="R43" i="56"/>
  <c r="N43" i="56"/>
  <c r="L43" i="56"/>
  <c r="B43" i="56"/>
  <c r="Z42" i="56"/>
  <c r="X42" i="56"/>
  <c r="V42" i="56"/>
  <c r="L42" i="56"/>
  <c r="N42" i="56" s="1"/>
  <c r="B42" i="56"/>
  <c r="X41" i="56"/>
  <c r="T41" i="56"/>
  <c r="Z41" i="56" s="1"/>
  <c r="R41" i="56"/>
  <c r="P41" i="56"/>
  <c r="H41" i="56"/>
  <c r="D41" i="56"/>
  <c r="L41" i="56" s="1"/>
  <c r="B41" i="56"/>
  <c r="Z40" i="56"/>
  <c r="X40" i="56"/>
  <c r="N40" i="56"/>
  <c r="L40" i="56"/>
  <c r="F40" i="56"/>
  <c r="B40" i="56"/>
  <c r="T39" i="56"/>
  <c r="P39" i="56"/>
  <c r="X39" i="56" s="1"/>
  <c r="H39" i="56"/>
  <c r="D39" i="56"/>
  <c r="L39" i="56" s="1"/>
  <c r="N39" i="56" s="1"/>
  <c r="B39" i="56"/>
  <c r="X38" i="56"/>
  <c r="Z38" i="56" s="1"/>
  <c r="N38" i="56"/>
  <c r="L38" i="56"/>
  <c r="J38" i="56"/>
  <c r="B38" i="56"/>
  <c r="T37" i="56"/>
  <c r="P37" i="56"/>
  <c r="X37" i="56" s="1"/>
  <c r="Z37" i="56" s="1"/>
  <c r="L37" i="56"/>
  <c r="H37" i="56"/>
  <c r="N37" i="56" s="1"/>
  <c r="D37" i="56"/>
  <c r="B37" i="56"/>
  <c r="Z36" i="56"/>
  <c r="X36" i="56"/>
  <c r="R36" i="56"/>
  <c r="N36" i="56"/>
  <c r="L36" i="56"/>
  <c r="B36" i="56"/>
  <c r="X35" i="56"/>
  <c r="V35" i="56"/>
  <c r="T35" i="56"/>
  <c r="Z35" i="56" s="1"/>
  <c r="P35" i="56"/>
  <c r="L35" i="56"/>
  <c r="H35" i="56"/>
  <c r="F35" i="56"/>
  <c r="D35" i="56"/>
  <c r="B35" i="56"/>
  <c r="Z34" i="56"/>
  <c r="X34" i="56"/>
  <c r="V34" i="56"/>
  <c r="L34" i="56"/>
  <c r="N34" i="56" s="1"/>
  <c r="B34" i="56"/>
  <c r="X33" i="56"/>
  <c r="T33" i="56"/>
  <c r="Z33" i="56" s="1"/>
  <c r="R33" i="56"/>
  <c r="P33" i="56"/>
  <c r="H33" i="56"/>
  <c r="D33" i="56"/>
  <c r="L33" i="56" s="1"/>
  <c r="B33" i="56"/>
  <c r="Z32" i="56"/>
  <c r="X32" i="56"/>
  <c r="V32" i="56"/>
  <c r="N32" i="56"/>
  <c r="L32" i="56"/>
  <c r="F32" i="56"/>
  <c r="B32" i="56"/>
  <c r="T31" i="56"/>
  <c r="P31" i="56"/>
  <c r="H31" i="56"/>
  <c r="D31" i="56"/>
  <c r="L31" i="56" s="1"/>
  <c r="N31" i="56" s="1"/>
  <c r="B31" i="56"/>
  <c r="X30" i="56"/>
  <c r="Z30" i="56" s="1"/>
  <c r="N30" i="56"/>
  <c r="L30" i="56"/>
  <c r="B30" i="56"/>
  <c r="Z29" i="56"/>
  <c r="X29" i="56"/>
  <c r="R29" i="56"/>
  <c r="L29" i="56"/>
  <c r="N29" i="56" s="1"/>
  <c r="F29" i="56"/>
  <c r="B29" i="56"/>
  <c r="V28" i="56"/>
  <c r="T28" i="56"/>
  <c r="R28" i="56"/>
  <c r="P28" i="56"/>
  <c r="X28" i="56" s="1"/>
  <c r="L28" i="56"/>
  <c r="N28" i="56" s="1"/>
  <c r="H28" i="56"/>
  <c r="D28" i="56"/>
  <c r="B28" i="56"/>
  <c r="X27" i="56"/>
  <c r="Z27" i="56" s="1"/>
  <c r="V27" i="56"/>
  <c r="L27" i="56"/>
  <c r="N27" i="56" s="1"/>
  <c r="F27" i="56"/>
  <c r="B27" i="56"/>
  <c r="X26" i="56"/>
  <c r="Z26" i="56" s="1"/>
  <c r="N26" i="56"/>
  <c r="L26" i="56"/>
  <c r="B26" i="56"/>
  <c r="Z25" i="56"/>
  <c r="X25" i="56"/>
  <c r="R25" i="56"/>
  <c r="L25" i="56"/>
  <c r="N25" i="56" s="1"/>
  <c r="F25" i="56"/>
  <c r="B25" i="56"/>
  <c r="Z24" i="56"/>
  <c r="X24" i="56"/>
  <c r="V24" i="56"/>
  <c r="N24" i="56"/>
  <c r="L24" i="56"/>
  <c r="F24" i="56"/>
  <c r="B24" i="56"/>
  <c r="X23" i="56"/>
  <c r="Z23" i="56" s="1"/>
  <c r="R23" i="56"/>
  <c r="L23" i="56"/>
  <c r="N23" i="56" s="1"/>
  <c r="J23" i="56"/>
  <c r="B23" i="56"/>
  <c r="Z22" i="56"/>
  <c r="X22" i="56"/>
  <c r="V22" i="56"/>
  <c r="L22" i="56"/>
  <c r="N22" i="56" s="1"/>
  <c r="B22" i="56"/>
  <c r="X21" i="56"/>
  <c r="Z21" i="56" s="1"/>
  <c r="R21" i="56"/>
  <c r="N21" i="56"/>
  <c r="L21" i="56"/>
  <c r="F21" i="56"/>
  <c r="B21" i="56"/>
  <c r="Z20" i="56"/>
  <c r="X20" i="56"/>
  <c r="V20" i="56"/>
  <c r="R20" i="56"/>
  <c r="N20" i="56"/>
  <c r="L20" i="56"/>
  <c r="B20" i="56"/>
  <c r="X19" i="56"/>
  <c r="V19" i="56"/>
  <c r="T19" i="56"/>
  <c r="Z19" i="56" s="1"/>
  <c r="P19" i="56"/>
  <c r="L19" i="56"/>
  <c r="H19" i="56"/>
  <c r="N19" i="56" s="1"/>
  <c r="F19" i="56"/>
  <c r="D19" i="56"/>
  <c r="B19" i="56"/>
  <c r="V18" i="56"/>
  <c r="T18" i="56"/>
  <c r="R18" i="56"/>
  <c r="P18" i="56"/>
  <c r="X18" i="56" s="1"/>
  <c r="Z18" i="56" s="1"/>
  <c r="H18" i="56"/>
  <c r="N18" i="56" s="1"/>
  <c r="F18" i="56"/>
  <c r="D18" i="56"/>
  <c r="L18" i="56" s="1"/>
  <c r="R16" i="56"/>
  <c r="Z14" i="56"/>
  <c r="V14" i="56"/>
  <c r="T14" i="56"/>
  <c r="R14" i="56"/>
  <c r="P14" i="56"/>
  <c r="H14" i="56"/>
  <c r="N14" i="56" s="1"/>
  <c r="F14" i="56"/>
  <c r="D14" i="56"/>
  <c r="L14" i="56" s="1"/>
  <c r="Z12" i="56"/>
  <c r="X12" i="56"/>
  <c r="T12" i="56"/>
  <c r="V50" i="56" s="1"/>
  <c r="P12" i="56"/>
  <c r="R51" i="56" s="1"/>
  <c r="H12" i="56"/>
  <c r="J50" i="56" s="1"/>
  <c r="D12" i="56"/>
  <c r="F43" i="56" s="1"/>
  <c r="D6" i="56"/>
  <c r="D4" i="56"/>
  <c r="R37" i="55"/>
  <c r="J34" i="55"/>
  <c r="Z32" i="55"/>
  <c r="X32" i="55"/>
  <c r="N32" i="55"/>
  <c r="L32" i="55"/>
  <c r="F32" i="55"/>
  <c r="Z28" i="55"/>
  <c r="T28" i="55"/>
  <c r="X28" i="55" s="1"/>
  <c r="P28" i="55"/>
  <c r="N28" i="55"/>
  <c r="J28" i="55"/>
  <c r="H28" i="55"/>
  <c r="D28" i="55"/>
  <c r="L28" i="55" s="1"/>
  <c r="Z26" i="55"/>
  <c r="X26" i="55"/>
  <c r="N26" i="55"/>
  <c r="L26" i="55"/>
  <c r="F26" i="55"/>
  <c r="B26" i="55"/>
  <c r="T25" i="55"/>
  <c r="P25" i="55"/>
  <c r="X25" i="55" s="1"/>
  <c r="N25" i="55"/>
  <c r="H25" i="55"/>
  <c r="D25" i="55"/>
  <c r="L25" i="55" s="1"/>
  <c r="B25" i="55"/>
  <c r="X24" i="55"/>
  <c r="Z24" i="55" s="1"/>
  <c r="N24" i="55"/>
  <c r="L24" i="55"/>
  <c r="J24" i="55"/>
  <c r="B24" i="55"/>
  <c r="Z23" i="55"/>
  <c r="T23" i="55"/>
  <c r="P23" i="55"/>
  <c r="X23" i="55" s="1"/>
  <c r="L23" i="55"/>
  <c r="N23" i="55" s="1"/>
  <c r="J23" i="55"/>
  <c r="H23" i="55"/>
  <c r="D23" i="55"/>
  <c r="B23" i="55"/>
  <c r="Z22" i="55"/>
  <c r="X22" i="55"/>
  <c r="N22" i="55"/>
  <c r="L22" i="55"/>
  <c r="B22" i="55"/>
  <c r="X21" i="55"/>
  <c r="Z21" i="55" s="1"/>
  <c r="V21" i="55"/>
  <c r="T21" i="55"/>
  <c r="P21" i="55"/>
  <c r="L21" i="55"/>
  <c r="H21" i="55"/>
  <c r="N21" i="55" s="1"/>
  <c r="F21" i="55"/>
  <c r="D21" i="55"/>
  <c r="B21" i="55"/>
  <c r="Z20" i="55"/>
  <c r="X20" i="55"/>
  <c r="V20" i="55"/>
  <c r="L20" i="55"/>
  <c r="N20" i="55" s="1"/>
  <c r="B20" i="55"/>
  <c r="X19" i="55"/>
  <c r="T19" i="55"/>
  <c r="R19" i="55"/>
  <c r="P19" i="55"/>
  <c r="H19" i="55"/>
  <c r="D19" i="55"/>
  <c r="B19" i="55"/>
  <c r="T18" i="55"/>
  <c r="Z18" i="55" s="1"/>
  <c r="R18" i="55"/>
  <c r="P18" i="55"/>
  <c r="X18" i="55" s="1"/>
  <c r="L18" i="55"/>
  <c r="N18" i="55" s="1"/>
  <c r="H18" i="55"/>
  <c r="F18" i="55"/>
  <c r="D18" i="55"/>
  <c r="T16" i="55"/>
  <c r="T30" i="55" s="1"/>
  <c r="J16" i="55"/>
  <c r="F16" i="55"/>
  <c r="D16" i="55"/>
  <c r="T14" i="55"/>
  <c r="Z14" i="55" s="1"/>
  <c r="R14" i="55"/>
  <c r="P14" i="55"/>
  <c r="X14" i="55" s="1"/>
  <c r="N14" i="55"/>
  <c r="L14" i="55"/>
  <c r="H14" i="55"/>
  <c r="F14" i="55"/>
  <c r="D14" i="55"/>
  <c r="Z12" i="55"/>
  <c r="T12" i="55"/>
  <c r="V24" i="55" s="1"/>
  <c r="P12" i="55"/>
  <c r="R22" i="55" s="1"/>
  <c r="H12" i="55"/>
  <c r="J37" i="55" s="1"/>
  <c r="D12" i="55"/>
  <c r="F23" i="55" s="1"/>
  <c r="D6" i="55"/>
  <c r="D4" i="55"/>
  <c r="J31" i="54"/>
  <c r="T29" i="54"/>
  <c r="P29" i="54"/>
  <c r="X29" i="54" s="1"/>
  <c r="Z29" i="54" s="1"/>
  <c r="J29" i="54"/>
  <c r="H29" i="54"/>
  <c r="F29" i="54"/>
  <c r="D29" i="54"/>
  <c r="L29" i="54" s="1"/>
  <c r="X28" i="54"/>
  <c r="Z28" i="54" s="1"/>
  <c r="T28" i="54"/>
  <c r="P28" i="54"/>
  <c r="N28" i="54"/>
  <c r="J28" i="54"/>
  <c r="H28" i="54"/>
  <c r="L28" i="54" s="1"/>
  <c r="D28" i="54"/>
  <c r="V26" i="54"/>
  <c r="J26" i="54"/>
  <c r="F26" i="54"/>
  <c r="Z24" i="54"/>
  <c r="X24" i="54"/>
  <c r="N24" i="54"/>
  <c r="L24" i="54"/>
  <c r="J24" i="54"/>
  <c r="F24" i="54"/>
  <c r="J22" i="54"/>
  <c r="Z20" i="54"/>
  <c r="T20" i="54"/>
  <c r="R20" i="54"/>
  <c r="P20" i="54"/>
  <c r="X20" i="54" s="1"/>
  <c r="J20" i="54"/>
  <c r="H20" i="54"/>
  <c r="N20" i="54" s="1"/>
  <c r="F20" i="54"/>
  <c r="D20" i="54"/>
  <c r="L20" i="54" s="1"/>
  <c r="Z18" i="54"/>
  <c r="X18" i="54"/>
  <c r="T18" i="54"/>
  <c r="P18" i="54"/>
  <c r="N18" i="54"/>
  <c r="J18" i="54"/>
  <c r="H18" i="54"/>
  <c r="L18" i="54" s="1"/>
  <c r="D18" i="54"/>
  <c r="R16" i="54"/>
  <c r="P16" i="54"/>
  <c r="J16" i="54"/>
  <c r="F16" i="54"/>
  <c r="D16" i="54"/>
  <c r="D22" i="54" s="1"/>
  <c r="Z14" i="54"/>
  <c r="X14" i="54"/>
  <c r="T14" i="54"/>
  <c r="R14" i="54"/>
  <c r="P14" i="54"/>
  <c r="J14" i="54"/>
  <c r="H14" i="54"/>
  <c r="D14" i="54"/>
  <c r="T12" i="54"/>
  <c r="V20" i="54" s="1"/>
  <c r="P12" i="54"/>
  <c r="R24" i="54" s="1"/>
  <c r="N12" i="54"/>
  <c r="L12" i="54"/>
  <c r="H12" i="54"/>
  <c r="D12" i="54"/>
  <c r="F31" i="54" s="1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H33" i="53"/>
  <c r="N33" i="53" s="1"/>
  <c r="D33" i="53"/>
  <c r="T29" i="53"/>
  <c r="Z29" i="53" s="1"/>
  <c r="P29" i="53"/>
  <c r="H29" i="53"/>
  <c r="D29" i="53"/>
  <c r="T25" i="53"/>
  <c r="Z25" i="53" s="1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Z22" i="53" s="1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P20" i="53"/>
  <c r="H20" i="53"/>
  <c r="N20" i="53" s="1"/>
  <c r="D20" i="53"/>
  <c r="T16" i="53"/>
  <c r="P16" i="53"/>
  <c r="H16" i="53"/>
  <c r="N16" i="53" s="1"/>
  <c r="D16" i="53"/>
  <c r="B16" i="53"/>
  <c r="T15" i="53"/>
  <c r="Z15" i="53" s="1"/>
  <c r="P15" i="53"/>
  <c r="H15" i="53"/>
  <c r="D15" i="53"/>
  <c r="T13" i="53"/>
  <c r="Z13" i="53" s="1"/>
  <c r="P13" i="53"/>
  <c r="H13" i="53"/>
  <c r="N13" i="53" s="1"/>
  <c r="D13" i="53"/>
  <c r="B13" i="53"/>
  <c r="T12" i="53"/>
  <c r="V36" i="53" s="1"/>
  <c r="P12" i="53"/>
  <c r="R21" i="53" s="1"/>
  <c r="H12" i="53"/>
  <c r="J20" i="53" s="1"/>
  <c r="D12" i="53"/>
  <c r="F36" i="53" s="1"/>
  <c r="D5" i="53"/>
  <c r="D4" i="53"/>
  <c r="B39" i="52"/>
  <c r="B38" i="52"/>
  <c r="T34" i="52"/>
  <c r="Z34" i="52" s="1"/>
  <c r="P34" i="52"/>
  <c r="H34" i="52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P24" i="52"/>
  <c r="H24" i="52"/>
  <c r="N24" i="52" s="1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N21" i="52" s="1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18" i="52" s="1"/>
  <c r="P12" i="52"/>
  <c r="H12" i="52"/>
  <c r="J22" i="52" s="1"/>
  <c r="D12" i="52"/>
  <c r="F18" i="52" s="1"/>
  <c r="D5" i="52"/>
  <c r="D4" i="52"/>
  <c r="X94" i="51"/>
  <c r="Z94" i="51" s="1"/>
  <c r="N94" i="51"/>
  <c r="L94" i="51"/>
  <c r="T90" i="51"/>
  <c r="P90" i="51"/>
  <c r="X90" i="51" s="1"/>
  <c r="Z90" i="51" s="1"/>
  <c r="H90" i="51"/>
  <c r="N90" i="51" s="1"/>
  <c r="D90" i="51"/>
  <c r="L90" i="51" s="1"/>
  <c r="B90" i="51"/>
  <c r="Z89" i="51"/>
  <c r="T89" i="51"/>
  <c r="P89" i="51"/>
  <c r="N89" i="51"/>
  <c r="H89" i="51"/>
  <c r="D89" i="51"/>
  <c r="L89" i="51" s="1"/>
  <c r="B89" i="51"/>
  <c r="Z88" i="51"/>
  <c r="T88" i="51"/>
  <c r="P88" i="51"/>
  <c r="X88" i="51" s="1"/>
  <c r="H88" i="51"/>
  <c r="D88" i="51"/>
  <c r="L88" i="51" s="1"/>
  <c r="N88" i="51" s="1"/>
  <c r="B88" i="51"/>
  <c r="T87" i="51"/>
  <c r="N87" i="51"/>
  <c r="H87" i="51"/>
  <c r="D87" i="51"/>
  <c r="L87" i="51" s="1"/>
  <c r="X85" i="51"/>
  <c r="Z85" i="51" s="1"/>
  <c r="L85" i="51"/>
  <c r="N85" i="51" s="1"/>
  <c r="B85" i="51"/>
  <c r="X84" i="51"/>
  <c r="T84" i="51"/>
  <c r="P84" i="51"/>
  <c r="H84" i="51"/>
  <c r="D84" i="51"/>
  <c r="B84" i="51"/>
  <c r="Z83" i="51"/>
  <c r="X83" i="51"/>
  <c r="N83" i="51"/>
  <c r="L83" i="51"/>
  <c r="B83" i="51"/>
  <c r="Z82" i="51"/>
  <c r="X82" i="51"/>
  <c r="L82" i="51"/>
  <c r="N82" i="51" s="1"/>
  <c r="B82" i="51"/>
  <c r="Z81" i="51"/>
  <c r="X81" i="51"/>
  <c r="N81" i="51"/>
  <c r="L81" i="51"/>
  <c r="B81" i="51"/>
  <c r="X80" i="51"/>
  <c r="T80" i="51"/>
  <c r="P80" i="51"/>
  <c r="H80" i="51"/>
  <c r="L80" i="51" s="1"/>
  <c r="D80" i="51"/>
  <c r="B80" i="51"/>
  <c r="X79" i="51"/>
  <c r="Z79" i="51" s="1"/>
  <c r="N79" i="51"/>
  <c r="L79" i="51"/>
  <c r="B79" i="51"/>
  <c r="T78" i="51"/>
  <c r="P78" i="51"/>
  <c r="H78" i="51"/>
  <c r="D78" i="51"/>
  <c r="L78" i="51" s="1"/>
  <c r="N78" i="51" s="1"/>
  <c r="B78" i="51"/>
  <c r="X77" i="51"/>
  <c r="Z77" i="51" s="1"/>
  <c r="N77" i="51"/>
  <c r="L77" i="51"/>
  <c r="B77" i="51"/>
  <c r="T76" i="51"/>
  <c r="P76" i="51"/>
  <c r="X76" i="51" s="1"/>
  <c r="Z76" i="51" s="1"/>
  <c r="H76" i="51"/>
  <c r="N76" i="51" s="1"/>
  <c r="D76" i="51"/>
  <c r="L76" i="51" s="1"/>
  <c r="B76" i="51"/>
  <c r="Z75" i="51"/>
  <c r="X75" i="51"/>
  <c r="L75" i="51"/>
  <c r="N75" i="51" s="1"/>
  <c r="B75" i="51"/>
  <c r="X74" i="51"/>
  <c r="Z74" i="51" s="1"/>
  <c r="N74" i="51"/>
  <c r="L74" i="51"/>
  <c r="B74" i="51"/>
  <c r="T73" i="51"/>
  <c r="P73" i="51"/>
  <c r="H73" i="51"/>
  <c r="D73" i="51"/>
  <c r="L73" i="51" s="1"/>
  <c r="N73" i="51" s="1"/>
  <c r="B73" i="51"/>
  <c r="Z72" i="51"/>
  <c r="X72" i="51"/>
  <c r="N72" i="51"/>
  <c r="L72" i="51"/>
  <c r="B72" i="51"/>
  <c r="Z71" i="51"/>
  <c r="T71" i="51"/>
  <c r="P71" i="51"/>
  <c r="X71" i="51" s="1"/>
  <c r="N71" i="51"/>
  <c r="H71" i="51"/>
  <c r="D71" i="51"/>
  <c r="L71" i="51" s="1"/>
  <c r="B71" i="51"/>
  <c r="Z70" i="51"/>
  <c r="X70" i="51"/>
  <c r="L70" i="51"/>
  <c r="N70" i="51" s="1"/>
  <c r="B70" i="51"/>
  <c r="T69" i="51"/>
  <c r="P69" i="51"/>
  <c r="X69" i="51" s="1"/>
  <c r="Z69" i="51" s="1"/>
  <c r="L69" i="51"/>
  <c r="N69" i="51" s="1"/>
  <c r="H69" i="51"/>
  <c r="D69" i="51"/>
  <c r="B69" i="51"/>
  <c r="Z68" i="51"/>
  <c r="X68" i="51"/>
  <c r="N68" i="51"/>
  <c r="L68" i="51"/>
  <c r="B68" i="51"/>
  <c r="X67" i="51"/>
  <c r="T67" i="51"/>
  <c r="Z67" i="51" s="1"/>
  <c r="P67" i="51"/>
  <c r="H67" i="51"/>
  <c r="D67" i="51"/>
  <c r="B67" i="51"/>
  <c r="Z66" i="51"/>
  <c r="X66" i="51"/>
  <c r="N66" i="51"/>
  <c r="L66" i="51"/>
  <c r="B66" i="51"/>
  <c r="X65" i="51"/>
  <c r="Z65" i="51" s="1"/>
  <c r="L65" i="51"/>
  <c r="N65" i="51" s="1"/>
  <c r="B65" i="51"/>
  <c r="Z64" i="51"/>
  <c r="X64" i="51"/>
  <c r="N64" i="51"/>
  <c r="L64" i="51"/>
  <c r="B64" i="51"/>
  <c r="X63" i="51"/>
  <c r="Z63" i="51" s="1"/>
  <c r="N63" i="51"/>
  <c r="L63" i="51"/>
  <c r="B63" i="51"/>
  <c r="Z62" i="51"/>
  <c r="X62" i="51"/>
  <c r="N62" i="51"/>
  <c r="L62" i="51"/>
  <c r="B62" i="51"/>
  <c r="T61" i="51"/>
  <c r="Z61" i="51" s="1"/>
  <c r="P61" i="51"/>
  <c r="X61" i="51" s="1"/>
  <c r="L61" i="51"/>
  <c r="H61" i="51"/>
  <c r="D61" i="51"/>
  <c r="B61" i="51"/>
  <c r="Z60" i="51"/>
  <c r="X60" i="51"/>
  <c r="L60" i="51"/>
  <c r="N60" i="51" s="1"/>
  <c r="B60" i="51"/>
  <c r="X59" i="51"/>
  <c r="Z59" i="51" s="1"/>
  <c r="N59" i="51"/>
  <c r="L59" i="51"/>
  <c r="B59" i="51"/>
  <c r="Z58" i="51"/>
  <c r="X58" i="51"/>
  <c r="N58" i="51"/>
  <c r="L58" i="51"/>
  <c r="B58" i="51"/>
  <c r="X57" i="51"/>
  <c r="Z57" i="51" s="1"/>
  <c r="L57" i="51"/>
  <c r="N57" i="51" s="1"/>
  <c r="B57" i="51"/>
  <c r="X56" i="51"/>
  <c r="Z56" i="51" s="1"/>
  <c r="N56" i="51"/>
  <c r="L56" i="51"/>
  <c r="B56" i="51"/>
  <c r="Z55" i="51"/>
  <c r="X55" i="51"/>
  <c r="L55" i="51"/>
  <c r="N55" i="51" s="1"/>
  <c r="B55" i="51"/>
  <c r="Z54" i="51"/>
  <c r="X54" i="51"/>
  <c r="N54" i="51"/>
  <c r="L54" i="51"/>
  <c r="B54" i="51"/>
  <c r="X53" i="51"/>
  <c r="Z53" i="51" s="1"/>
  <c r="L53" i="51"/>
  <c r="N53" i="51" s="1"/>
  <c r="B53" i="51"/>
  <c r="Z52" i="51"/>
  <c r="X52" i="51"/>
  <c r="L52" i="51"/>
  <c r="N52" i="51" s="1"/>
  <c r="B52" i="51"/>
  <c r="X51" i="51"/>
  <c r="T51" i="51"/>
  <c r="Z51" i="51" s="1"/>
  <c r="R51" i="51"/>
  <c r="P51" i="51"/>
  <c r="H51" i="51"/>
  <c r="D51" i="51"/>
  <c r="B51" i="51"/>
  <c r="T50" i="51"/>
  <c r="P50" i="51"/>
  <c r="X50" i="51" s="1"/>
  <c r="L50" i="51"/>
  <c r="H50" i="51"/>
  <c r="D50" i="51"/>
  <c r="X46" i="51"/>
  <c r="Z46" i="51" s="1"/>
  <c r="N46" i="51"/>
  <c r="L46" i="51"/>
  <c r="B46" i="51"/>
  <c r="Z45" i="51"/>
  <c r="X45" i="51"/>
  <c r="N45" i="51"/>
  <c r="L45" i="51"/>
  <c r="B45" i="51"/>
  <c r="X44" i="51"/>
  <c r="Z44" i="51" s="1"/>
  <c r="L44" i="51"/>
  <c r="N44" i="51" s="1"/>
  <c r="B44" i="51"/>
  <c r="Z43" i="51"/>
  <c r="X43" i="51"/>
  <c r="N43" i="51"/>
  <c r="L43" i="51"/>
  <c r="B43" i="51"/>
  <c r="Z42" i="51"/>
  <c r="X42" i="51"/>
  <c r="L42" i="51"/>
  <c r="N42" i="51" s="1"/>
  <c r="B42" i="51"/>
  <c r="Z41" i="51"/>
  <c r="X41" i="51"/>
  <c r="N41" i="51"/>
  <c r="L41" i="51"/>
  <c r="B41" i="51"/>
  <c r="X40" i="51"/>
  <c r="Z40" i="51" s="1"/>
  <c r="L40" i="51"/>
  <c r="N40" i="51" s="1"/>
  <c r="B40" i="51"/>
  <c r="Z39" i="51"/>
  <c r="X39" i="51"/>
  <c r="L39" i="51"/>
  <c r="N39" i="51" s="1"/>
  <c r="B39" i="51"/>
  <c r="X38" i="51"/>
  <c r="Z38" i="51" s="1"/>
  <c r="N38" i="51"/>
  <c r="L38" i="51"/>
  <c r="B38" i="51"/>
  <c r="Z37" i="51"/>
  <c r="X37" i="51"/>
  <c r="R37" i="51"/>
  <c r="L37" i="51"/>
  <c r="N37" i="51" s="1"/>
  <c r="B37" i="51"/>
  <c r="X36" i="51"/>
  <c r="Z36" i="51" s="1"/>
  <c r="L36" i="51"/>
  <c r="N36" i="51" s="1"/>
  <c r="B36" i="51"/>
  <c r="Z35" i="51"/>
  <c r="X35" i="51"/>
  <c r="N35" i="51"/>
  <c r="L35" i="51"/>
  <c r="B35" i="51"/>
  <c r="Z34" i="51"/>
  <c r="T34" i="51"/>
  <c r="P34" i="51"/>
  <c r="X34" i="51" s="1"/>
  <c r="H34" i="51"/>
  <c r="D34" i="51"/>
  <c r="L34" i="51" s="1"/>
  <c r="N34" i="51" s="1"/>
  <c r="T32" i="51"/>
  <c r="Z32" i="51" s="1"/>
  <c r="P32" i="51"/>
  <c r="X32" i="51" s="1"/>
  <c r="N32" i="51"/>
  <c r="H32" i="51"/>
  <c r="D32" i="51"/>
  <c r="L32" i="51" s="1"/>
  <c r="B32" i="51"/>
  <c r="T31" i="51"/>
  <c r="Z31" i="51" s="1"/>
  <c r="P31" i="51"/>
  <c r="X31" i="51" s="1"/>
  <c r="H31" i="51"/>
  <c r="D31" i="51"/>
  <c r="B31" i="51"/>
  <c r="T30" i="51"/>
  <c r="P30" i="51"/>
  <c r="L30" i="51"/>
  <c r="N30" i="51" s="1"/>
  <c r="H30" i="51"/>
  <c r="D30" i="51"/>
  <c r="B30" i="51"/>
  <c r="X29" i="51"/>
  <c r="Z29" i="51" s="1"/>
  <c r="T29" i="51"/>
  <c r="P29" i="51"/>
  <c r="H29" i="51"/>
  <c r="D29" i="51"/>
  <c r="L29" i="51" s="1"/>
  <c r="N29" i="51" s="1"/>
  <c r="B29" i="51"/>
  <c r="T28" i="51"/>
  <c r="P28" i="51"/>
  <c r="X28" i="51" s="1"/>
  <c r="Z28" i="51" s="1"/>
  <c r="H28" i="51"/>
  <c r="D28" i="51"/>
  <c r="L28" i="51" s="1"/>
  <c r="B28" i="51"/>
  <c r="T27" i="51"/>
  <c r="P27" i="51"/>
  <c r="H27" i="51"/>
  <c r="N27" i="51" s="1"/>
  <c r="D27" i="51"/>
  <c r="L27" i="51" s="1"/>
  <c r="B27" i="51"/>
  <c r="X26" i="51"/>
  <c r="Z26" i="51" s="1"/>
  <c r="T26" i="51"/>
  <c r="P26" i="51"/>
  <c r="H26" i="51"/>
  <c r="D26" i="51"/>
  <c r="B26" i="51"/>
  <c r="Z25" i="51"/>
  <c r="T25" i="51"/>
  <c r="P25" i="51"/>
  <c r="X25" i="51" s="1"/>
  <c r="N25" i="51"/>
  <c r="L25" i="51"/>
  <c r="H25" i="51"/>
  <c r="D25" i="51"/>
  <c r="B25" i="51"/>
  <c r="T24" i="51"/>
  <c r="P24" i="51"/>
  <c r="X24" i="51" s="1"/>
  <c r="H24" i="51"/>
  <c r="D24" i="51"/>
  <c r="L24" i="51" s="1"/>
  <c r="N24" i="51" s="1"/>
  <c r="B24" i="51"/>
  <c r="T23" i="51"/>
  <c r="P23" i="51"/>
  <c r="X23" i="51" s="1"/>
  <c r="H23" i="51"/>
  <c r="D23" i="51"/>
  <c r="B23" i="51"/>
  <c r="T22" i="51"/>
  <c r="P22" i="51"/>
  <c r="L22" i="51"/>
  <c r="N22" i="51" s="1"/>
  <c r="H22" i="51"/>
  <c r="D22" i="51"/>
  <c r="B22" i="51"/>
  <c r="X21" i="51"/>
  <c r="Z21" i="51" s="1"/>
  <c r="T21" i="51"/>
  <c r="P21" i="51"/>
  <c r="N21" i="51"/>
  <c r="H21" i="51"/>
  <c r="D21" i="51"/>
  <c r="L21" i="51" s="1"/>
  <c r="B21" i="51"/>
  <c r="Z20" i="51"/>
  <c r="T20" i="51"/>
  <c r="P20" i="51"/>
  <c r="X20" i="51" s="1"/>
  <c r="H20" i="51"/>
  <c r="D20" i="51"/>
  <c r="L20" i="51" s="1"/>
  <c r="B20" i="51"/>
  <c r="T19" i="51"/>
  <c r="P19" i="51"/>
  <c r="H19" i="51"/>
  <c r="N19" i="51" s="1"/>
  <c r="D19" i="51"/>
  <c r="L19" i="51" s="1"/>
  <c r="B19" i="51"/>
  <c r="X18" i="51"/>
  <c r="Z18" i="51" s="1"/>
  <c r="T18" i="51"/>
  <c r="P18" i="51"/>
  <c r="H18" i="51"/>
  <c r="D18" i="51"/>
  <c r="B18" i="51"/>
  <c r="Z17" i="51"/>
  <c r="T17" i="51"/>
  <c r="P17" i="51"/>
  <c r="X17" i="51" s="1"/>
  <c r="L17" i="51"/>
  <c r="N17" i="51" s="1"/>
  <c r="H17" i="51"/>
  <c r="D17" i="51"/>
  <c r="B17" i="51"/>
  <c r="T16" i="51"/>
  <c r="P16" i="51"/>
  <c r="X16" i="51" s="1"/>
  <c r="H16" i="51"/>
  <c r="D16" i="51"/>
  <c r="B16" i="51"/>
  <c r="T15" i="51"/>
  <c r="P15" i="51"/>
  <c r="X15" i="51" s="1"/>
  <c r="H15" i="51"/>
  <c r="D15" i="51"/>
  <c r="B15" i="51"/>
  <c r="T14" i="51"/>
  <c r="P14" i="51"/>
  <c r="L14" i="51"/>
  <c r="N14" i="51" s="1"/>
  <c r="H14" i="51"/>
  <c r="D14" i="51"/>
  <c r="B14" i="51"/>
  <c r="X13" i="51"/>
  <c r="Z13" i="51" s="1"/>
  <c r="T13" i="51"/>
  <c r="P13" i="51"/>
  <c r="N13" i="51"/>
  <c r="H13" i="51"/>
  <c r="D13" i="51"/>
  <c r="L13" i="51" s="1"/>
  <c r="B13" i="51"/>
  <c r="P12" i="51"/>
  <c r="R65" i="51" s="1"/>
  <c r="D4" i="51"/>
  <c r="B39" i="50"/>
  <c r="B38" i="50"/>
  <c r="T34" i="50"/>
  <c r="Z34" i="50" s="1"/>
  <c r="P34" i="50"/>
  <c r="H34" i="50"/>
  <c r="N34" i="50" s="1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Z15" i="50" s="1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V18" i="50" s="1"/>
  <c r="P12" i="50"/>
  <c r="R34" i="50" s="1"/>
  <c r="H12" i="50"/>
  <c r="J22" i="50" s="1"/>
  <c r="D12" i="50"/>
  <c r="F18" i="50" s="1"/>
  <c r="D5" i="50"/>
  <c r="D4" i="50"/>
  <c r="B39" i="49"/>
  <c r="B38" i="49"/>
  <c r="T34" i="49"/>
  <c r="Z34" i="49" s="1"/>
  <c r="P34" i="49"/>
  <c r="H34" i="49"/>
  <c r="N34" i="49" s="1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Z22" i="49" s="1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D20" i="49"/>
  <c r="T16" i="49"/>
  <c r="Z16" i="49" s="1"/>
  <c r="P16" i="49"/>
  <c r="H16" i="49"/>
  <c r="N16" i="49" s="1"/>
  <c r="D16" i="49"/>
  <c r="B16" i="49"/>
  <c r="T15" i="49"/>
  <c r="Z15" i="49" s="1"/>
  <c r="P15" i="49"/>
  <c r="H15" i="49"/>
  <c r="N15" i="49" s="1"/>
  <c r="D15" i="49"/>
  <c r="T13" i="49"/>
  <c r="Z13" i="49" s="1"/>
  <c r="P13" i="49"/>
  <c r="H13" i="49"/>
  <c r="N13" i="49" s="1"/>
  <c r="D13" i="49"/>
  <c r="B13" i="49"/>
  <c r="T12" i="49"/>
  <c r="P12" i="49"/>
  <c r="R34" i="49" s="1"/>
  <c r="H12" i="49"/>
  <c r="J36" i="49" s="1"/>
  <c r="D12" i="49"/>
  <c r="D5" i="49"/>
  <c r="D4" i="49"/>
  <c r="Z60" i="48"/>
  <c r="X60" i="48"/>
  <c r="L60" i="48"/>
  <c r="N60" i="48" s="1"/>
  <c r="X56" i="48"/>
  <c r="Z56" i="48" s="1"/>
  <c r="T56" i="48"/>
  <c r="P56" i="48"/>
  <c r="H56" i="48"/>
  <c r="D56" i="48"/>
  <c r="L56" i="48" s="1"/>
  <c r="B56" i="48"/>
  <c r="T55" i="48"/>
  <c r="P55" i="48"/>
  <c r="X55" i="48" s="1"/>
  <c r="D55" i="48"/>
  <c r="Z53" i="48"/>
  <c r="X53" i="48"/>
  <c r="R53" i="48"/>
  <c r="L53" i="48"/>
  <c r="N53" i="48" s="1"/>
  <c r="B53" i="48"/>
  <c r="T52" i="48"/>
  <c r="Z52" i="48" s="1"/>
  <c r="P52" i="48"/>
  <c r="X52" i="48" s="1"/>
  <c r="L52" i="48"/>
  <c r="N52" i="48" s="1"/>
  <c r="H52" i="48"/>
  <c r="F52" i="48"/>
  <c r="D52" i="48"/>
  <c r="B52" i="48"/>
  <c r="X51" i="48"/>
  <c r="Z51" i="48" s="1"/>
  <c r="N51" i="48"/>
  <c r="L51" i="48"/>
  <c r="B51" i="48"/>
  <c r="X50" i="48"/>
  <c r="Z50" i="48" s="1"/>
  <c r="T50" i="48"/>
  <c r="P50" i="48"/>
  <c r="H50" i="48"/>
  <c r="N50" i="48" s="1"/>
  <c r="D50" i="48"/>
  <c r="B50" i="48"/>
  <c r="X49" i="48"/>
  <c r="Z49" i="48" s="1"/>
  <c r="N49" i="48"/>
  <c r="L49" i="48"/>
  <c r="B49" i="48"/>
  <c r="Z48" i="48"/>
  <c r="X48" i="48"/>
  <c r="N48" i="48"/>
  <c r="L48" i="48"/>
  <c r="J48" i="48"/>
  <c r="B48" i="48"/>
  <c r="T47" i="48"/>
  <c r="P47" i="48"/>
  <c r="X47" i="48" s="1"/>
  <c r="Z47" i="48" s="1"/>
  <c r="L47" i="48"/>
  <c r="H47" i="48"/>
  <c r="N47" i="48" s="1"/>
  <c r="F47" i="48"/>
  <c r="D47" i="48"/>
  <c r="B47" i="48"/>
  <c r="Z46" i="48"/>
  <c r="X46" i="48"/>
  <c r="L46" i="48"/>
  <c r="N46" i="48" s="1"/>
  <c r="B46" i="48"/>
  <c r="T45" i="48"/>
  <c r="R45" i="48"/>
  <c r="P45" i="48"/>
  <c r="L45" i="48"/>
  <c r="H45" i="48"/>
  <c r="D45" i="48"/>
  <c r="B45" i="48"/>
  <c r="X44" i="48"/>
  <c r="Z44" i="48" s="1"/>
  <c r="N44" i="48"/>
  <c r="L44" i="48"/>
  <c r="B44" i="48"/>
  <c r="X43" i="48"/>
  <c r="T43" i="48"/>
  <c r="P43" i="48"/>
  <c r="H43" i="48"/>
  <c r="D43" i="48"/>
  <c r="B43" i="48"/>
  <c r="X42" i="48"/>
  <c r="Z42" i="48" s="1"/>
  <c r="N42" i="48"/>
  <c r="L42" i="48"/>
  <c r="B42" i="48"/>
  <c r="Z41" i="48"/>
  <c r="X41" i="48"/>
  <c r="N41" i="48"/>
  <c r="L41" i="48"/>
  <c r="B41" i="48"/>
  <c r="T40" i="48"/>
  <c r="P40" i="48"/>
  <c r="X40" i="48" s="1"/>
  <c r="Z40" i="48" s="1"/>
  <c r="L40" i="48"/>
  <c r="N40" i="48" s="1"/>
  <c r="H40" i="48"/>
  <c r="D40" i="48"/>
  <c r="B40" i="48"/>
  <c r="X39" i="48"/>
  <c r="Z39" i="48" s="1"/>
  <c r="L39" i="48"/>
  <c r="N39" i="48" s="1"/>
  <c r="B39" i="48"/>
  <c r="X38" i="48"/>
  <c r="Z38" i="48" s="1"/>
  <c r="T38" i="48"/>
  <c r="P38" i="48"/>
  <c r="H38" i="48"/>
  <c r="D38" i="48"/>
  <c r="B38" i="48"/>
  <c r="Z37" i="48"/>
  <c r="X37" i="48"/>
  <c r="N37" i="48"/>
  <c r="L37" i="48"/>
  <c r="B37" i="48"/>
  <c r="T36" i="48"/>
  <c r="Z36" i="48" s="1"/>
  <c r="P36" i="48"/>
  <c r="X36" i="48" s="1"/>
  <c r="N36" i="48"/>
  <c r="H36" i="48"/>
  <c r="D36" i="48"/>
  <c r="L36" i="48" s="1"/>
  <c r="B36" i="48"/>
  <c r="X35" i="48"/>
  <c r="Z35" i="48" s="1"/>
  <c r="L35" i="48"/>
  <c r="N35" i="48" s="1"/>
  <c r="J35" i="48"/>
  <c r="B35" i="48"/>
  <c r="Z34" i="48"/>
  <c r="X34" i="48"/>
  <c r="L34" i="48"/>
  <c r="N34" i="48" s="1"/>
  <c r="B34" i="48"/>
  <c r="X33" i="48"/>
  <c r="Z33" i="48" s="1"/>
  <c r="N33" i="48"/>
  <c r="L33" i="48"/>
  <c r="B33" i="48"/>
  <c r="Z32" i="48"/>
  <c r="X32" i="48"/>
  <c r="N32" i="48"/>
  <c r="L32" i="48"/>
  <c r="J32" i="48"/>
  <c r="B32" i="48"/>
  <c r="X31" i="48"/>
  <c r="Z31" i="48" s="1"/>
  <c r="L31" i="48"/>
  <c r="N31" i="48" s="1"/>
  <c r="B31" i="48"/>
  <c r="X30" i="48"/>
  <c r="Z30" i="48" s="1"/>
  <c r="N30" i="48"/>
  <c r="L30" i="48"/>
  <c r="B30" i="48"/>
  <c r="Z29" i="48"/>
  <c r="T29" i="48"/>
  <c r="P29" i="48"/>
  <c r="X29" i="48" s="1"/>
  <c r="J29" i="48"/>
  <c r="H29" i="48"/>
  <c r="D29" i="48"/>
  <c r="L29" i="48" s="1"/>
  <c r="N29" i="48" s="1"/>
  <c r="B29" i="48"/>
  <c r="Z28" i="48"/>
  <c r="X28" i="48"/>
  <c r="L28" i="48"/>
  <c r="N28" i="48" s="1"/>
  <c r="J28" i="48"/>
  <c r="B28" i="48"/>
  <c r="X27" i="48"/>
  <c r="Z27" i="48" s="1"/>
  <c r="L27" i="48"/>
  <c r="N27" i="48" s="1"/>
  <c r="B27" i="48"/>
  <c r="X26" i="48"/>
  <c r="Z26" i="48" s="1"/>
  <c r="N26" i="48"/>
  <c r="L26" i="48"/>
  <c r="B26" i="48"/>
  <c r="Z25" i="48"/>
  <c r="X25" i="48"/>
  <c r="R25" i="48"/>
  <c r="L25" i="48"/>
  <c r="N25" i="48" s="1"/>
  <c r="B25" i="48"/>
  <c r="Z24" i="48"/>
  <c r="X24" i="48"/>
  <c r="N24" i="48"/>
  <c r="L24" i="48"/>
  <c r="B24" i="48"/>
  <c r="X23" i="48"/>
  <c r="Z23" i="48" s="1"/>
  <c r="L23" i="48"/>
  <c r="N23" i="48" s="1"/>
  <c r="J23" i="48"/>
  <c r="B23" i="48"/>
  <c r="Z22" i="48"/>
  <c r="X22" i="48"/>
  <c r="L22" i="48"/>
  <c r="N22" i="48" s="1"/>
  <c r="B22" i="48"/>
  <c r="X21" i="48"/>
  <c r="Z21" i="48" s="1"/>
  <c r="N21" i="48"/>
  <c r="L21" i="48"/>
  <c r="B21" i="48"/>
  <c r="T20" i="48"/>
  <c r="P20" i="48"/>
  <c r="N20" i="48"/>
  <c r="H20" i="48"/>
  <c r="D20" i="48"/>
  <c r="L20" i="48" s="1"/>
  <c r="B20" i="48"/>
  <c r="X19" i="48"/>
  <c r="T19" i="48"/>
  <c r="P19" i="48"/>
  <c r="H19" i="48"/>
  <c r="D19" i="48"/>
  <c r="X15" i="48"/>
  <c r="T15" i="48"/>
  <c r="Z15" i="48" s="1"/>
  <c r="P15" i="48"/>
  <c r="N15" i="48"/>
  <c r="H15" i="48"/>
  <c r="D15" i="48"/>
  <c r="L15" i="48" s="1"/>
  <c r="T13" i="48"/>
  <c r="P13" i="48"/>
  <c r="P12" i="48" s="1"/>
  <c r="R48" i="48" s="1"/>
  <c r="L13" i="48"/>
  <c r="H13" i="48"/>
  <c r="D13" i="48"/>
  <c r="D12" i="48" s="1"/>
  <c r="B13" i="48"/>
  <c r="H12" i="48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D24" i="47"/>
  <c r="T22" i="47"/>
  <c r="Z22" i="47" s="1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P20" i="47"/>
  <c r="H20" i="47"/>
  <c r="N20" i="47" s="1"/>
  <c r="D20" i="47"/>
  <c r="T16" i="47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P13" i="47"/>
  <c r="H13" i="47"/>
  <c r="N13" i="47" s="1"/>
  <c r="D13" i="47"/>
  <c r="B13" i="47"/>
  <c r="T12" i="47"/>
  <c r="V36" i="47" s="1"/>
  <c r="P12" i="47"/>
  <c r="R21" i="47" s="1"/>
  <c r="H12" i="47"/>
  <c r="J20" i="47" s="1"/>
  <c r="D12" i="47"/>
  <c r="F36" i="47" s="1"/>
  <c r="D5" i="47"/>
  <c r="D4" i="47"/>
  <c r="B39" i="46"/>
  <c r="B38" i="46"/>
  <c r="T34" i="46"/>
  <c r="Z34" i="46" s="1"/>
  <c r="P34" i="46"/>
  <c r="H34" i="46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Z15" i="46" s="1"/>
  <c r="P15" i="46"/>
  <c r="H15" i="46"/>
  <c r="D15" i="46"/>
  <c r="T13" i="46"/>
  <c r="Z13" i="46" s="1"/>
  <c r="P13" i="46"/>
  <c r="H13" i="46"/>
  <c r="N13" i="46" s="1"/>
  <c r="D13" i="46"/>
  <c r="B13" i="46"/>
  <c r="T12" i="46"/>
  <c r="V21" i="46" s="1"/>
  <c r="P12" i="46"/>
  <c r="R36" i="46" s="1"/>
  <c r="H12" i="46"/>
  <c r="J20" i="46" s="1"/>
  <c r="D12" i="46"/>
  <c r="D5" i="46"/>
  <c r="D4" i="46"/>
  <c r="X90" i="45"/>
  <c r="Z90" i="45" s="1"/>
  <c r="N90" i="45"/>
  <c r="L90" i="45"/>
  <c r="Z86" i="45"/>
  <c r="T86" i="45"/>
  <c r="P86" i="45"/>
  <c r="X86" i="45" s="1"/>
  <c r="N86" i="45"/>
  <c r="H86" i="45"/>
  <c r="D86" i="45"/>
  <c r="L86" i="45" s="1"/>
  <c r="Z84" i="45"/>
  <c r="X84" i="45"/>
  <c r="N84" i="45"/>
  <c r="L84" i="45"/>
  <c r="B84" i="45"/>
  <c r="Z83" i="45"/>
  <c r="X83" i="45"/>
  <c r="N83" i="45"/>
  <c r="L83" i="45"/>
  <c r="B83" i="45"/>
  <c r="Z82" i="45"/>
  <c r="T82" i="45"/>
  <c r="P82" i="45"/>
  <c r="X82" i="45" s="1"/>
  <c r="N82" i="45"/>
  <c r="L82" i="45"/>
  <c r="H82" i="45"/>
  <c r="D82" i="45"/>
  <c r="B82" i="45"/>
  <c r="Z81" i="45"/>
  <c r="X81" i="45"/>
  <c r="N81" i="45"/>
  <c r="L81" i="45"/>
  <c r="B81" i="45"/>
  <c r="X80" i="45"/>
  <c r="Z80" i="45" s="1"/>
  <c r="T80" i="45"/>
  <c r="P80" i="45"/>
  <c r="H80" i="45"/>
  <c r="N80" i="45" s="1"/>
  <c r="D80" i="45"/>
  <c r="B80" i="45"/>
  <c r="X79" i="45"/>
  <c r="Z79" i="45" s="1"/>
  <c r="L79" i="45"/>
  <c r="N79" i="45" s="1"/>
  <c r="B79" i="45"/>
  <c r="T78" i="45"/>
  <c r="P78" i="45"/>
  <c r="H78" i="45"/>
  <c r="D78" i="45"/>
  <c r="L78" i="45" s="1"/>
  <c r="N78" i="45" s="1"/>
  <c r="B78" i="45"/>
  <c r="X77" i="45"/>
  <c r="Z77" i="45" s="1"/>
  <c r="N77" i="45"/>
  <c r="L77" i="45"/>
  <c r="B77" i="45"/>
  <c r="Z76" i="45"/>
  <c r="X76" i="45"/>
  <c r="N76" i="45"/>
  <c r="L76" i="45"/>
  <c r="B76" i="45"/>
  <c r="X75" i="45"/>
  <c r="Z75" i="45" s="1"/>
  <c r="N75" i="45"/>
  <c r="L75" i="45"/>
  <c r="B75" i="45"/>
  <c r="Z74" i="45"/>
  <c r="X74" i="45"/>
  <c r="N74" i="45"/>
  <c r="L74" i="45"/>
  <c r="B74" i="45"/>
  <c r="Z73" i="45"/>
  <c r="X73" i="45"/>
  <c r="L73" i="45"/>
  <c r="N73" i="45" s="1"/>
  <c r="B73" i="45"/>
  <c r="X72" i="45"/>
  <c r="Z72" i="45" s="1"/>
  <c r="N72" i="45"/>
  <c r="L72" i="45"/>
  <c r="B72" i="45"/>
  <c r="X71" i="45"/>
  <c r="Z71" i="45" s="1"/>
  <c r="L71" i="45"/>
  <c r="N71" i="45" s="1"/>
  <c r="B71" i="45"/>
  <c r="Z70" i="45"/>
  <c r="X70" i="45"/>
  <c r="N70" i="45"/>
  <c r="L70" i="45"/>
  <c r="B70" i="45"/>
  <c r="T69" i="45"/>
  <c r="P69" i="45"/>
  <c r="L69" i="45"/>
  <c r="N69" i="45" s="1"/>
  <c r="H69" i="45"/>
  <c r="D69" i="45"/>
  <c r="B69" i="45"/>
  <c r="X68" i="45"/>
  <c r="Z68" i="45" s="1"/>
  <c r="N68" i="45"/>
  <c r="L68" i="45"/>
  <c r="B68" i="45"/>
  <c r="X67" i="45"/>
  <c r="Z67" i="45" s="1"/>
  <c r="L67" i="45"/>
  <c r="N67" i="45" s="1"/>
  <c r="B67" i="45"/>
  <c r="Z66" i="45"/>
  <c r="X66" i="45"/>
  <c r="N66" i="45"/>
  <c r="L66" i="45"/>
  <c r="B66" i="45"/>
  <c r="T65" i="45"/>
  <c r="P65" i="45"/>
  <c r="L65" i="45"/>
  <c r="N65" i="45" s="1"/>
  <c r="H65" i="45"/>
  <c r="D65" i="45"/>
  <c r="B65" i="45"/>
  <c r="X64" i="45"/>
  <c r="Z64" i="45" s="1"/>
  <c r="N64" i="45"/>
  <c r="L64" i="45"/>
  <c r="B64" i="45"/>
  <c r="X63" i="45"/>
  <c r="Z63" i="45" s="1"/>
  <c r="L63" i="45"/>
  <c r="N63" i="45" s="1"/>
  <c r="B63" i="45"/>
  <c r="Z62" i="45"/>
  <c r="X62" i="45"/>
  <c r="N62" i="45"/>
  <c r="L62" i="45"/>
  <c r="B62" i="45"/>
  <c r="T61" i="45"/>
  <c r="P61" i="45"/>
  <c r="L61" i="45"/>
  <c r="N61" i="45" s="1"/>
  <c r="H61" i="45"/>
  <c r="D61" i="45"/>
  <c r="B61" i="45"/>
  <c r="X60" i="45"/>
  <c r="Z60" i="45" s="1"/>
  <c r="N60" i="45"/>
  <c r="L60" i="45"/>
  <c r="B60" i="45"/>
  <c r="X59" i="45"/>
  <c r="Z59" i="45" s="1"/>
  <c r="T59" i="45"/>
  <c r="P59" i="45"/>
  <c r="H59" i="45"/>
  <c r="D59" i="45"/>
  <c r="L59" i="45" s="1"/>
  <c r="B59" i="45"/>
  <c r="Z58" i="45"/>
  <c r="X58" i="45"/>
  <c r="N58" i="45"/>
  <c r="L58" i="45"/>
  <c r="B58" i="45"/>
  <c r="T57" i="45"/>
  <c r="P57" i="45"/>
  <c r="X57" i="45" s="1"/>
  <c r="H57" i="45"/>
  <c r="N57" i="45" s="1"/>
  <c r="D57" i="45"/>
  <c r="L57" i="45" s="1"/>
  <c r="B57" i="45"/>
  <c r="Z56" i="45"/>
  <c r="X56" i="45"/>
  <c r="L56" i="45"/>
  <c r="N56" i="45" s="1"/>
  <c r="B56" i="45"/>
  <c r="T55" i="45"/>
  <c r="Z55" i="45" s="1"/>
  <c r="P55" i="45"/>
  <c r="X55" i="45" s="1"/>
  <c r="H55" i="45"/>
  <c r="D55" i="45"/>
  <c r="B55" i="45"/>
  <c r="Z54" i="45"/>
  <c r="X54" i="45"/>
  <c r="N54" i="45"/>
  <c r="L54" i="45"/>
  <c r="B54" i="45"/>
  <c r="T53" i="45"/>
  <c r="P53" i="45"/>
  <c r="L53" i="45"/>
  <c r="N53" i="45" s="1"/>
  <c r="H53" i="45"/>
  <c r="D53" i="45"/>
  <c r="B53" i="45"/>
  <c r="Z52" i="45"/>
  <c r="X52" i="45"/>
  <c r="N52" i="45"/>
  <c r="L52" i="45"/>
  <c r="B52" i="45"/>
  <c r="Z51" i="45"/>
  <c r="X51" i="45"/>
  <c r="T51" i="45"/>
  <c r="P51" i="45"/>
  <c r="H51" i="45"/>
  <c r="N51" i="45" s="1"/>
  <c r="D51" i="45"/>
  <c r="L51" i="45" s="1"/>
  <c r="B51" i="45"/>
  <c r="Z50" i="45"/>
  <c r="X50" i="45"/>
  <c r="N50" i="45"/>
  <c r="L50" i="45"/>
  <c r="B50" i="45"/>
  <c r="T49" i="45"/>
  <c r="P49" i="45"/>
  <c r="X49" i="45" s="1"/>
  <c r="H49" i="45"/>
  <c r="N49" i="45" s="1"/>
  <c r="D49" i="45"/>
  <c r="L49" i="45" s="1"/>
  <c r="B49" i="45"/>
  <c r="Z48" i="45"/>
  <c r="X48" i="45"/>
  <c r="L48" i="45"/>
  <c r="N48" i="45" s="1"/>
  <c r="B48" i="45"/>
  <c r="T47" i="45"/>
  <c r="Z47" i="45" s="1"/>
  <c r="P47" i="45"/>
  <c r="X47" i="45" s="1"/>
  <c r="H47" i="45"/>
  <c r="D47" i="45"/>
  <c r="B47" i="45"/>
  <c r="Z46" i="45"/>
  <c r="X46" i="45"/>
  <c r="N46" i="45"/>
  <c r="L46" i="45"/>
  <c r="B46" i="45"/>
  <c r="T45" i="45"/>
  <c r="Z45" i="45" s="1"/>
  <c r="P45" i="45"/>
  <c r="N45" i="45"/>
  <c r="L45" i="45"/>
  <c r="H45" i="45"/>
  <c r="D45" i="45"/>
  <c r="B45" i="45"/>
  <c r="X44" i="45"/>
  <c r="Z44" i="45" s="1"/>
  <c r="N44" i="45"/>
  <c r="L44" i="45"/>
  <c r="B44" i="45"/>
  <c r="X43" i="45"/>
  <c r="Z43" i="45" s="1"/>
  <c r="T43" i="45"/>
  <c r="P43" i="45"/>
  <c r="H43" i="45"/>
  <c r="D43" i="45"/>
  <c r="L43" i="45" s="1"/>
  <c r="B43" i="45"/>
  <c r="Z42" i="45"/>
  <c r="X42" i="45"/>
  <c r="N42" i="45"/>
  <c r="L42" i="45"/>
  <c r="B42" i="45"/>
  <c r="T41" i="45"/>
  <c r="P41" i="45"/>
  <c r="X41" i="45" s="1"/>
  <c r="H41" i="45"/>
  <c r="N41" i="45" s="1"/>
  <c r="D41" i="45"/>
  <c r="L41" i="45" s="1"/>
  <c r="B41" i="45"/>
  <c r="Z40" i="45"/>
  <c r="X40" i="45"/>
  <c r="L40" i="45"/>
  <c r="N40" i="45" s="1"/>
  <c r="B40" i="45"/>
  <c r="X39" i="45"/>
  <c r="Z39" i="45" s="1"/>
  <c r="L39" i="45"/>
  <c r="N39" i="45" s="1"/>
  <c r="B39" i="45"/>
  <c r="Z38" i="45"/>
  <c r="X38" i="45"/>
  <c r="N38" i="45"/>
  <c r="L38" i="45"/>
  <c r="B38" i="45"/>
  <c r="X37" i="45"/>
  <c r="Z37" i="45" s="1"/>
  <c r="L37" i="45"/>
  <c r="N37" i="45" s="1"/>
  <c r="B37" i="45"/>
  <c r="X36" i="45"/>
  <c r="Z36" i="45" s="1"/>
  <c r="N36" i="45"/>
  <c r="L36" i="45"/>
  <c r="B36" i="45"/>
  <c r="X35" i="45"/>
  <c r="Z35" i="45" s="1"/>
  <c r="L35" i="45"/>
  <c r="N35" i="45" s="1"/>
  <c r="B35" i="45"/>
  <c r="Z34" i="45"/>
  <c r="T34" i="45"/>
  <c r="P34" i="45"/>
  <c r="X34" i="45" s="1"/>
  <c r="L34" i="45"/>
  <c r="N34" i="45" s="1"/>
  <c r="H34" i="45"/>
  <c r="D34" i="45"/>
  <c r="B34" i="45"/>
  <c r="X33" i="45"/>
  <c r="Z33" i="45" s="1"/>
  <c r="L33" i="45"/>
  <c r="N33" i="45" s="1"/>
  <c r="B33" i="45"/>
  <c r="X32" i="45"/>
  <c r="Z32" i="45" s="1"/>
  <c r="N32" i="45"/>
  <c r="L32" i="45"/>
  <c r="B32" i="45"/>
  <c r="X31" i="45"/>
  <c r="Z31" i="45" s="1"/>
  <c r="L31" i="45"/>
  <c r="N31" i="45" s="1"/>
  <c r="B31" i="45"/>
  <c r="Z30" i="45"/>
  <c r="X30" i="45"/>
  <c r="N30" i="45"/>
  <c r="L30" i="45"/>
  <c r="B30" i="45"/>
  <c r="X29" i="45"/>
  <c r="Z29" i="45" s="1"/>
  <c r="L29" i="45"/>
  <c r="N29" i="45" s="1"/>
  <c r="B29" i="45"/>
  <c r="Z28" i="45"/>
  <c r="X28" i="45"/>
  <c r="L28" i="45"/>
  <c r="N28" i="45" s="1"/>
  <c r="B28" i="45"/>
  <c r="X27" i="45"/>
  <c r="Z27" i="45" s="1"/>
  <c r="L27" i="45"/>
  <c r="N27" i="45" s="1"/>
  <c r="B27" i="45"/>
  <c r="Z26" i="45"/>
  <c r="X26" i="45"/>
  <c r="N26" i="45"/>
  <c r="L26" i="45"/>
  <c r="B26" i="45"/>
  <c r="X25" i="45"/>
  <c r="Z25" i="45" s="1"/>
  <c r="L25" i="45"/>
  <c r="N25" i="45" s="1"/>
  <c r="B25" i="45"/>
  <c r="X24" i="45"/>
  <c r="Z24" i="45" s="1"/>
  <c r="T24" i="45"/>
  <c r="P24" i="45"/>
  <c r="H24" i="45"/>
  <c r="D24" i="45"/>
  <c r="B24" i="45"/>
  <c r="T23" i="45"/>
  <c r="P23" i="45"/>
  <c r="X23" i="45" s="1"/>
  <c r="H23" i="45"/>
  <c r="D23" i="45"/>
  <c r="L23" i="45" s="1"/>
  <c r="X19" i="45"/>
  <c r="Z19" i="45" s="1"/>
  <c r="N19" i="45"/>
  <c r="L19" i="45"/>
  <c r="B19" i="45"/>
  <c r="Z18" i="45"/>
  <c r="X18" i="45"/>
  <c r="N18" i="45"/>
  <c r="L18" i="45"/>
  <c r="B18" i="45"/>
  <c r="T17" i="45"/>
  <c r="P17" i="45"/>
  <c r="H17" i="45"/>
  <c r="D17" i="45"/>
  <c r="L17" i="45" s="1"/>
  <c r="T15" i="45"/>
  <c r="P15" i="45"/>
  <c r="X15" i="45" s="1"/>
  <c r="H15" i="45"/>
  <c r="D15" i="45"/>
  <c r="L15" i="45" s="1"/>
  <c r="B15" i="45"/>
  <c r="T14" i="45"/>
  <c r="Z14" i="45" s="1"/>
  <c r="P14" i="45"/>
  <c r="X14" i="45" s="1"/>
  <c r="L14" i="45"/>
  <c r="H14" i="45"/>
  <c r="D14" i="45"/>
  <c r="B14" i="45"/>
  <c r="X13" i="45"/>
  <c r="T13" i="45"/>
  <c r="Z13" i="45" s="1"/>
  <c r="P13" i="45"/>
  <c r="L13" i="45"/>
  <c r="N13" i="45" s="1"/>
  <c r="H13" i="45"/>
  <c r="D13" i="45"/>
  <c r="B13" i="45"/>
  <c r="P12" i="45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D33" i="44"/>
  <c r="T29" i="44"/>
  <c r="Z29" i="44" s="1"/>
  <c r="P29" i="44"/>
  <c r="H29" i="44"/>
  <c r="D29" i="44"/>
  <c r="T25" i="44"/>
  <c r="Z25" i="44" s="1"/>
  <c r="P25" i="44"/>
  <c r="H25" i="44"/>
  <c r="D25" i="44"/>
  <c r="B25" i="44"/>
  <c r="T24" i="44"/>
  <c r="P24" i="44"/>
  <c r="H24" i="44"/>
  <c r="N24" i="44" s="1"/>
  <c r="D24" i="44"/>
  <c r="T22" i="44"/>
  <c r="Z22" i="44" s="1"/>
  <c r="P22" i="44"/>
  <c r="H22" i="44"/>
  <c r="N22" i="44" s="1"/>
  <c r="D22" i="44"/>
  <c r="B22" i="44"/>
  <c r="T21" i="44"/>
  <c r="P21" i="44"/>
  <c r="H21" i="44"/>
  <c r="N21" i="44" s="1"/>
  <c r="D21" i="44"/>
  <c r="B21" i="44"/>
  <c r="T20" i="44"/>
  <c r="Z20" i="44" s="1"/>
  <c r="P20" i="44"/>
  <c r="H20" i="44"/>
  <c r="N20" i="44" s="1"/>
  <c r="D20" i="44"/>
  <c r="T16" i="44"/>
  <c r="Z16" i="44" s="1"/>
  <c r="P16" i="44"/>
  <c r="H16" i="44"/>
  <c r="N16" i="44" s="1"/>
  <c r="D16" i="44"/>
  <c r="B16" i="44"/>
  <c r="T15" i="44"/>
  <c r="Z15" i="44" s="1"/>
  <c r="P15" i="44"/>
  <c r="H15" i="44"/>
  <c r="D15" i="44"/>
  <c r="T13" i="44"/>
  <c r="Z13" i="44" s="1"/>
  <c r="P13" i="44"/>
  <c r="H13" i="44"/>
  <c r="N13" i="44" s="1"/>
  <c r="D13" i="44"/>
  <c r="B13" i="44"/>
  <c r="T12" i="44"/>
  <c r="V36" i="44" s="1"/>
  <c r="P12" i="44"/>
  <c r="H12" i="44"/>
  <c r="D12" i="44"/>
  <c r="F36" i="44" s="1"/>
  <c r="D5" i="44"/>
  <c r="D4" i="44"/>
  <c r="B39" i="43"/>
  <c r="B38" i="43"/>
  <c r="T34" i="43"/>
  <c r="P34" i="43"/>
  <c r="H34" i="43"/>
  <c r="N34" i="43" s="1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Z15" i="43" s="1"/>
  <c r="P15" i="43"/>
  <c r="H15" i="43"/>
  <c r="N15" i="43" s="1"/>
  <c r="D15" i="43"/>
  <c r="T13" i="43"/>
  <c r="Z13" i="43" s="1"/>
  <c r="P13" i="43"/>
  <c r="H13" i="43"/>
  <c r="N13" i="43" s="1"/>
  <c r="D13" i="43"/>
  <c r="B13" i="43"/>
  <c r="T12" i="43"/>
  <c r="P12" i="43"/>
  <c r="H12" i="43"/>
  <c r="J22" i="43" s="1"/>
  <c r="D12" i="43"/>
  <c r="F18" i="43" s="1"/>
  <c r="D5" i="43"/>
  <c r="D4" i="43"/>
  <c r="Z95" i="42"/>
  <c r="X95" i="42"/>
  <c r="L95" i="42"/>
  <c r="N95" i="42" s="1"/>
  <c r="T91" i="42"/>
  <c r="Z91" i="42" s="1"/>
  <c r="P91" i="42"/>
  <c r="X91" i="42" s="1"/>
  <c r="H91" i="42"/>
  <c r="D91" i="42"/>
  <c r="L91" i="42" s="1"/>
  <c r="B91" i="42"/>
  <c r="Z90" i="42"/>
  <c r="T90" i="42"/>
  <c r="P90" i="42"/>
  <c r="X90" i="42" s="1"/>
  <c r="N90" i="42"/>
  <c r="L90" i="42"/>
  <c r="J90" i="42"/>
  <c r="H90" i="42"/>
  <c r="D90" i="42"/>
  <c r="B90" i="42"/>
  <c r="T89" i="42"/>
  <c r="P89" i="42"/>
  <c r="H89" i="42"/>
  <c r="D89" i="42"/>
  <c r="B89" i="42"/>
  <c r="P88" i="42"/>
  <c r="X86" i="42"/>
  <c r="Z86" i="42" s="1"/>
  <c r="N86" i="42"/>
  <c r="L86" i="42"/>
  <c r="B86" i="42"/>
  <c r="X85" i="42"/>
  <c r="Z85" i="42" s="1"/>
  <c r="T85" i="42"/>
  <c r="P85" i="42"/>
  <c r="J85" i="42"/>
  <c r="H85" i="42"/>
  <c r="D85" i="42"/>
  <c r="B85" i="42"/>
  <c r="Z84" i="42"/>
  <c r="X84" i="42"/>
  <c r="N84" i="42"/>
  <c r="L84" i="42"/>
  <c r="B84" i="42"/>
  <c r="T83" i="42"/>
  <c r="P83" i="42"/>
  <c r="H83" i="42"/>
  <c r="N83" i="42" s="1"/>
  <c r="D83" i="42"/>
  <c r="L83" i="42" s="1"/>
  <c r="B83" i="42"/>
  <c r="Z82" i="42"/>
  <c r="X82" i="42"/>
  <c r="L82" i="42"/>
  <c r="N82" i="42" s="1"/>
  <c r="J82" i="42"/>
  <c r="B82" i="42"/>
  <c r="T81" i="42"/>
  <c r="P81" i="42"/>
  <c r="X81" i="42" s="1"/>
  <c r="H81" i="42"/>
  <c r="N81" i="42" s="1"/>
  <c r="D81" i="42"/>
  <c r="L81" i="42" s="1"/>
  <c r="B81" i="42"/>
  <c r="Z80" i="42"/>
  <c r="X80" i="42"/>
  <c r="N80" i="42"/>
  <c r="L80" i="42"/>
  <c r="B80" i="42"/>
  <c r="Z79" i="42"/>
  <c r="X79" i="42"/>
  <c r="N79" i="42"/>
  <c r="L79" i="42"/>
  <c r="J79" i="42"/>
  <c r="B79" i="42"/>
  <c r="Z78" i="42"/>
  <c r="X78" i="42"/>
  <c r="L78" i="42"/>
  <c r="N78" i="42" s="1"/>
  <c r="J78" i="42"/>
  <c r="B78" i="42"/>
  <c r="Z77" i="42"/>
  <c r="X77" i="42"/>
  <c r="N77" i="42"/>
  <c r="L77" i="42"/>
  <c r="B77" i="42"/>
  <c r="Z76" i="42"/>
  <c r="X76" i="42"/>
  <c r="N76" i="42"/>
  <c r="L76" i="42"/>
  <c r="B76" i="42"/>
  <c r="X75" i="42"/>
  <c r="Z75" i="42" s="1"/>
  <c r="L75" i="42"/>
  <c r="N75" i="42" s="1"/>
  <c r="B75" i="42"/>
  <c r="X74" i="42"/>
  <c r="Z74" i="42" s="1"/>
  <c r="N74" i="42"/>
  <c r="L74" i="42"/>
  <c r="B74" i="42"/>
  <c r="X73" i="42"/>
  <c r="Z73" i="42" s="1"/>
  <c r="T73" i="42"/>
  <c r="P73" i="42"/>
  <c r="J73" i="42"/>
  <c r="H73" i="42"/>
  <c r="D73" i="42"/>
  <c r="B73" i="42"/>
  <c r="Z72" i="42"/>
  <c r="X72" i="42"/>
  <c r="N72" i="42"/>
  <c r="L72" i="42"/>
  <c r="B72" i="42"/>
  <c r="T71" i="42"/>
  <c r="P71" i="42"/>
  <c r="H71" i="42"/>
  <c r="N71" i="42" s="1"/>
  <c r="D71" i="42"/>
  <c r="L71" i="42" s="1"/>
  <c r="B71" i="42"/>
  <c r="Z70" i="42"/>
  <c r="X70" i="42"/>
  <c r="L70" i="42"/>
  <c r="N70" i="42" s="1"/>
  <c r="J70" i="42"/>
  <c r="B70" i="42"/>
  <c r="X69" i="42"/>
  <c r="Z69" i="42" s="1"/>
  <c r="L69" i="42"/>
  <c r="N69" i="42" s="1"/>
  <c r="B69" i="42"/>
  <c r="Z68" i="42"/>
  <c r="X68" i="42"/>
  <c r="N68" i="42"/>
  <c r="L68" i="42"/>
  <c r="B68" i="42"/>
  <c r="X67" i="42"/>
  <c r="Z67" i="42" s="1"/>
  <c r="L67" i="42"/>
  <c r="N67" i="42" s="1"/>
  <c r="B67" i="42"/>
  <c r="X66" i="42"/>
  <c r="Z66" i="42" s="1"/>
  <c r="T66" i="42"/>
  <c r="P66" i="42"/>
  <c r="H66" i="42"/>
  <c r="D66" i="42"/>
  <c r="B66" i="42"/>
  <c r="X65" i="42"/>
  <c r="Z65" i="42" s="1"/>
  <c r="N65" i="42"/>
  <c r="L65" i="42"/>
  <c r="B65" i="42"/>
  <c r="Z64" i="42"/>
  <c r="X64" i="42"/>
  <c r="N64" i="42"/>
  <c r="L64" i="42"/>
  <c r="B64" i="42"/>
  <c r="Z63" i="42"/>
  <c r="X63" i="42"/>
  <c r="N63" i="42"/>
  <c r="L63" i="42"/>
  <c r="B63" i="42"/>
  <c r="X62" i="42"/>
  <c r="Z62" i="42" s="1"/>
  <c r="T62" i="42"/>
  <c r="P62" i="42"/>
  <c r="H62" i="42"/>
  <c r="D62" i="42"/>
  <c r="B62" i="42"/>
  <c r="X61" i="42"/>
  <c r="Z61" i="42" s="1"/>
  <c r="L61" i="42"/>
  <c r="N61" i="42" s="1"/>
  <c r="B61" i="42"/>
  <c r="T60" i="42"/>
  <c r="P60" i="42"/>
  <c r="H60" i="42"/>
  <c r="D60" i="42"/>
  <c r="L60" i="42" s="1"/>
  <c r="N60" i="42" s="1"/>
  <c r="B60" i="42"/>
  <c r="X59" i="42"/>
  <c r="Z59" i="42" s="1"/>
  <c r="L59" i="42"/>
  <c r="N59" i="42" s="1"/>
  <c r="J59" i="42"/>
  <c r="B59" i="42"/>
  <c r="T58" i="42"/>
  <c r="P58" i="42"/>
  <c r="X58" i="42" s="1"/>
  <c r="Z58" i="42" s="1"/>
  <c r="H58" i="42"/>
  <c r="D58" i="42"/>
  <c r="L58" i="42" s="1"/>
  <c r="N58" i="42" s="1"/>
  <c r="B58" i="42"/>
  <c r="X57" i="42"/>
  <c r="Z57" i="42" s="1"/>
  <c r="L57" i="42"/>
  <c r="N57" i="42" s="1"/>
  <c r="B57" i="42"/>
  <c r="T56" i="42"/>
  <c r="P56" i="42"/>
  <c r="X56" i="42" s="1"/>
  <c r="Z56" i="42" s="1"/>
  <c r="L56" i="42"/>
  <c r="N56" i="42" s="1"/>
  <c r="J56" i="42"/>
  <c r="H56" i="42"/>
  <c r="D56" i="42"/>
  <c r="B56" i="42"/>
  <c r="X55" i="42"/>
  <c r="Z55" i="42" s="1"/>
  <c r="L55" i="42"/>
  <c r="N55" i="42" s="1"/>
  <c r="B55" i="42"/>
  <c r="X54" i="42"/>
  <c r="Z54" i="42" s="1"/>
  <c r="T54" i="42"/>
  <c r="P54" i="42"/>
  <c r="H54" i="42"/>
  <c r="D54" i="42"/>
  <c r="B54" i="42"/>
  <c r="X53" i="42"/>
  <c r="Z53" i="42" s="1"/>
  <c r="L53" i="42"/>
  <c r="N53" i="42" s="1"/>
  <c r="B53" i="42"/>
  <c r="T52" i="42"/>
  <c r="P52" i="42"/>
  <c r="X52" i="42" s="1"/>
  <c r="H52" i="42"/>
  <c r="D52" i="42"/>
  <c r="L52" i="42" s="1"/>
  <c r="B52" i="42"/>
  <c r="X51" i="42"/>
  <c r="Z51" i="42" s="1"/>
  <c r="L51" i="42"/>
  <c r="N51" i="42" s="1"/>
  <c r="J51" i="42"/>
  <c r="B51" i="42"/>
  <c r="T50" i="42"/>
  <c r="P50" i="42"/>
  <c r="X50" i="42" s="1"/>
  <c r="N50" i="42"/>
  <c r="H50" i="42"/>
  <c r="D50" i="42"/>
  <c r="L50" i="42" s="1"/>
  <c r="B50" i="42"/>
  <c r="Z49" i="42"/>
  <c r="X49" i="42"/>
  <c r="N49" i="42"/>
  <c r="L49" i="42"/>
  <c r="B49" i="42"/>
  <c r="Z48" i="42"/>
  <c r="T48" i="42"/>
  <c r="P48" i="42"/>
  <c r="X48" i="42" s="1"/>
  <c r="N48" i="42"/>
  <c r="L48" i="42"/>
  <c r="J48" i="42"/>
  <c r="H48" i="42"/>
  <c r="D48" i="42"/>
  <c r="B48" i="42"/>
  <c r="X47" i="42"/>
  <c r="Z47" i="42" s="1"/>
  <c r="N47" i="42"/>
  <c r="L47" i="42"/>
  <c r="B47" i="42"/>
  <c r="X46" i="42"/>
  <c r="Z46" i="42" s="1"/>
  <c r="L46" i="42"/>
  <c r="N46" i="42" s="1"/>
  <c r="B46" i="42"/>
  <c r="X45" i="42"/>
  <c r="Z45" i="42" s="1"/>
  <c r="T45" i="42"/>
  <c r="P45" i="42"/>
  <c r="H45" i="42"/>
  <c r="D45" i="42"/>
  <c r="B45" i="42"/>
  <c r="Z44" i="42"/>
  <c r="X44" i="42"/>
  <c r="N44" i="42"/>
  <c r="L44" i="42"/>
  <c r="B44" i="42"/>
  <c r="T43" i="42"/>
  <c r="P43" i="42"/>
  <c r="H43" i="42"/>
  <c r="D43" i="42"/>
  <c r="L43" i="42" s="1"/>
  <c r="B43" i="42"/>
  <c r="X42" i="42"/>
  <c r="Z42" i="42" s="1"/>
  <c r="L42" i="42"/>
  <c r="N42" i="42" s="1"/>
  <c r="J42" i="42"/>
  <c r="B42" i="42"/>
  <c r="T41" i="42"/>
  <c r="P41" i="42"/>
  <c r="X41" i="42" s="1"/>
  <c r="H41" i="42"/>
  <c r="D41" i="42"/>
  <c r="L41" i="42" s="1"/>
  <c r="B41" i="42"/>
  <c r="Z40" i="42"/>
  <c r="X40" i="42"/>
  <c r="N40" i="42"/>
  <c r="L40" i="42"/>
  <c r="B40" i="42"/>
  <c r="T39" i="42"/>
  <c r="Z39" i="42" s="1"/>
  <c r="P39" i="42"/>
  <c r="X39" i="42" s="1"/>
  <c r="N39" i="42"/>
  <c r="L39" i="42"/>
  <c r="H39" i="42"/>
  <c r="D39" i="42"/>
  <c r="B39" i="42"/>
  <c r="X38" i="42"/>
  <c r="Z38" i="42" s="1"/>
  <c r="N38" i="42"/>
  <c r="L38" i="42"/>
  <c r="B38" i="42"/>
  <c r="Z37" i="42"/>
  <c r="X37" i="42"/>
  <c r="L37" i="42"/>
  <c r="N37" i="42" s="1"/>
  <c r="B37" i="42"/>
  <c r="Z36" i="42"/>
  <c r="X36" i="42"/>
  <c r="N36" i="42"/>
  <c r="L36" i="42"/>
  <c r="B36" i="42"/>
  <c r="X35" i="42"/>
  <c r="Z35" i="42" s="1"/>
  <c r="L35" i="42"/>
  <c r="N35" i="42" s="1"/>
  <c r="J35" i="42"/>
  <c r="B35" i="42"/>
  <c r="Z34" i="42"/>
  <c r="X34" i="42"/>
  <c r="L34" i="42"/>
  <c r="N34" i="42" s="1"/>
  <c r="J34" i="42"/>
  <c r="B34" i="42"/>
  <c r="T33" i="42"/>
  <c r="Z33" i="42" s="1"/>
  <c r="P33" i="42"/>
  <c r="X33" i="42" s="1"/>
  <c r="H33" i="42"/>
  <c r="D33" i="42"/>
  <c r="L33" i="42" s="1"/>
  <c r="B33" i="42"/>
  <c r="Z32" i="42"/>
  <c r="X32" i="42"/>
  <c r="N32" i="42"/>
  <c r="L32" i="42"/>
  <c r="B32" i="42"/>
  <c r="X31" i="42"/>
  <c r="Z31" i="42" s="1"/>
  <c r="L31" i="42"/>
  <c r="N31" i="42" s="1"/>
  <c r="J31" i="42"/>
  <c r="B31" i="42"/>
  <c r="Z30" i="42"/>
  <c r="X30" i="42"/>
  <c r="L30" i="42"/>
  <c r="N30" i="42" s="1"/>
  <c r="J30" i="42"/>
  <c r="B30" i="42"/>
  <c r="X29" i="42"/>
  <c r="Z29" i="42" s="1"/>
  <c r="L29" i="42"/>
  <c r="N29" i="42" s="1"/>
  <c r="B29" i="42"/>
  <c r="Z28" i="42"/>
  <c r="X28" i="42"/>
  <c r="N28" i="42"/>
  <c r="L28" i="42"/>
  <c r="B28" i="42"/>
  <c r="X27" i="42"/>
  <c r="Z27" i="42" s="1"/>
  <c r="N27" i="42"/>
  <c r="L27" i="42"/>
  <c r="B27" i="42"/>
  <c r="X26" i="42"/>
  <c r="Z26" i="42" s="1"/>
  <c r="N26" i="42"/>
  <c r="L26" i="42"/>
  <c r="B26" i="42"/>
  <c r="Z25" i="42"/>
  <c r="X25" i="42"/>
  <c r="L25" i="42"/>
  <c r="N25" i="42" s="1"/>
  <c r="B25" i="42"/>
  <c r="Z24" i="42"/>
  <c r="T24" i="42"/>
  <c r="P24" i="42"/>
  <c r="X24" i="42" s="1"/>
  <c r="L24" i="42"/>
  <c r="N24" i="42" s="1"/>
  <c r="J24" i="42"/>
  <c r="H24" i="42"/>
  <c r="D24" i="42"/>
  <c r="B24" i="42"/>
  <c r="T23" i="42"/>
  <c r="P23" i="42"/>
  <c r="H23" i="42"/>
  <c r="D23" i="42"/>
  <c r="L23" i="42" s="1"/>
  <c r="X19" i="42"/>
  <c r="Z19" i="42" s="1"/>
  <c r="L19" i="42"/>
  <c r="N19" i="42" s="1"/>
  <c r="B19" i="42"/>
  <c r="X18" i="42"/>
  <c r="Z18" i="42" s="1"/>
  <c r="N18" i="42"/>
  <c r="L18" i="42"/>
  <c r="B18" i="42"/>
  <c r="X17" i="42"/>
  <c r="Z17" i="42" s="1"/>
  <c r="T17" i="42"/>
  <c r="P17" i="42"/>
  <c r="H17" i="42"/>
  <c r="D17" i="42"/>
  <c r="X15" i="42"/>
  <c r="T15" i="42"/>
  <c r="Z15" i="42" s="1"/>
  <c r="P15" i="42"/>
  <c r="L15" i="42"/>
  <c r="N15" i="42" s="1"/>
  <c r="H15" i="42"/>
  <c r="D15" i="42"/>
  <c r="B15" i="42"/>
  <c r="T14" i="42"/>
  <c r="P14" i="42"/>
  <c r="X14" i="42" s="1"/>
  <c r="Z14" i="42" s="1"/>
  <c r="N14" i="42"/>
  <c r="H14" i="42"/>
  <c r="D14" i="42"/>
  <c r="L14" i="42" s="1"/>
  <c r="B14" i="42"/>
  <c r="T13" i="42"/>
  <c r="P13" i="42"/>
  <c r="H13" i="42"/>
  <c r="N13" i="42" s="1"/>
  <c r="D13" i="42"/>
  <c r="L13" i="42" s="1"/>
  <c r="B13" i="42"/>
  <c r="H12" i="42"/>
  <c r="J77" i="42" s="1"/>
  <c r="D4" i="42"/>
  <c r="B39" i="41"/>
  <c r="B38" i="41"/>
  <c r="T34" i="4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D24" i="41"/>
  <c r="T22" i="41"/>
  <c r="Z22" i="41" s="1"/>
  <c r="P22" i="41"/>
  <c r="H22" i="41"/>
  <c r="N22" i="41" s="1"/>
  <c r="D22" i="41"/>
  <c r="B22" i="41"/>
  <c r="T21" i="41"/>
  <c r="Z21" i="41" s="1"/>
  <c r="P21" i="41"/>
  <c r="H21" i="41"/>
  <c r="D21" i="41"/>
  <c r="B21" i="41"/>
  <c r="T20" i="41"/>
  <c r="P20" i="41"/>
  <c r="H20" i="41"/>
  <c r="N20" i="41" s="1"/>
  <c r="D20" i="41"/>
  <c r="T16" i="41"/>
  <c r="P16" i="41"/>
  <c r="H16" i="41"/>
  <c r="N16" i="41" s="1"/>
  <c r="D16" i="41"/>
  <c r="B16" i="41"/>
  <c r="T15" i="4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V27" i="41" s="1"/>
  <c r="P12" i="41"/>
  <c r="R34" i="41" s="1"/>
  <c r="H12" i="41"/>
  <c r="D12" i="4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D29" i="40"/>
  <c r="T25" i="40"/>
  <c r="Z25" i="40" s="1"/>
  <c r="P25" i="40"/>
  <c r="H25" i="40"/>
  <c r="N25" i="40" s="1"/>
  <c r="D25" i="40"/>
  <c r="B25" i="40"/>
  <c r="T24" i="40"/>
  <c r="P24" i="40"/>
  <c r="H24" i="40"/>
  <c r="N24" i="40" s="1"/>
  <c r="D24" i="40"/>
  <c r="T22" i="40"/>
  <c r="Z22" i="40" s="1"/>
  <c r="P22" i="40"/>
  <c r="H22" i="40"/>
  <c r="D22" i="40"/>
  <c r="B22" i="40"/>
  <c r="T21" i="40"/>
  <c r="Z21" i="40" s="1"/>
  <c r="P21" i="40"/>
  <c r="H21" i="40"/>
  <c r="N21" i="40" s="1"/>
  <c r="D21" i="40"/>
  <c r="B21" i="40"/>
  <c r="T20" i="40"/>
  <c r="Z20" i="40" s="1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D15" i="40"/>
  <c r="T13" i="40"/>
  <c r="Z13" i="40" s="1"/>
  <c r="P13" i="40"/>
  <c r="H13" i="40"/>
  <c r="N13" i="40" s="1"/>
  <c r="D13" i="40"/>
  <c r="B13" i="40"/>
  <c r="T12" i="40"/>
  <c r="V18" i="40" s="1"/>
  <c r="P12" i="40"/>
  <c r="R34" i="40" s="1"/>
  <c r="H12" i="40"/>
  <c r="D12" i="40"/>
  <c r="F21" i="40" s="1"/>
  <c r="D5" i="40"/>
  <c r="D4" i="40"/>
  <c r="X105" i="39"/>
  <c r="Z105" i="39" s="1"/>
  <c r="L105" i="39"/>
  <c r="N105" i="39" s="1"/>
  <c r="X101" i="39"/>
  <c r="T101" i="39"/>
  <c r="P101" i="39"/>
  <c r="P98" i="39" s="1"/>
  <c r="H101" i="39"/>
  <c r="D101" i="39"/>
  <c r="L101" i="39" s="1"/>
  <c r="B101" i="39"/>
  <c r="T100" i="39"/>
  <c r="X100" i="39" s="1"/>
  <c r="Z100" i="39" s="1"/>
  <c r="P100" i="39"/>
  <c r="N100" i="39"/>
  <c r="L100" i="39"/>
  <c r="H100" i="39"/>
  <c r="D100" i="39"/>
  <c r="B100" i="39"/>
  <c r="T99" i="39"/>
  <c r="P99" i="39"/>
  <c r="H99" i="39"/>
  <c r="D99" i="39"/>
  <c r="D98" i="39" s="1"/>
  <c r="B99" i="39"/>
  <c r="X96" i="39"/>
  <c r="Z96" i="39" s="1"/>
  <c r="L96" i="39"/>
  <c r="N96" i="39" s="1"/>
  <c r="B96" i="39"/>
  <c r="T95" i="39"/>
  <c r="P95" i="39"/>
  <c r="X95" i="39" s="1"/>
  <c r="Z95" i="39" s="1"/>
  <c r="H95" i="39"/>
  <c r="D95" i="39"/>
  <c r="B95" i="39"/>
  <c r="Z94" i="39"/>
  <c r="X94" i="39"/>
  <c r="N94" i="39"/>
  <c r="L94" i="39"/>
  <c r="B94" i="39"/>
  <c r="T93" i="39"/>
  <c r="P93" i="39"/>
  <c r="L93" i="39"/>
  <c r="H93" i="39"/>
  <c r="N93" i="39" s="1"/>
  <c r="D93" i="39"/>
  <c r="B93" i="39"/>
  <c r="X92" i="39"/>
  <c r="Z92" i="39" s="1"/>
  <c r="L92" i="39"/>
  <c r="N92" i="39" s="1"/>
  <c r="B92" i="39"/>
  <c r="X91" i="39"/>
  <c r="T91" i="39"/>
  <c r="P91" i="39"/>
  <c r="H91" i="39"/>
  <c r="D91" i="39"/>
  <c r="B91" i="39"/>
  <c r="Z90" i="39"/>
  <c r="X90" i="39"/>
  <c r="N90" i="39"/>
  <c r="L90" i="39"/>
  <c r="B90" i="39"/>
  <c r="Z89" i="39"/>
  <c r="X89" i="39"/>
  <c r="N89" i="39"/>
  <c r="L89" i="39"/>
  <c r="B89" i="39"/>
  <c r="Z88" i="39"/>
  <c r="X88" i="39"/>
  <c r="L88" i="39"/>
  <c r="N88" i="39" s="1"/>
  <c r="B88" i="39"/>
  <c r="Z87" i="39"/>
  <c r="X87" i="39"/>
  <c r="N87" i="39"/>
  <c r="L87" i="39"/>
  <c r="B87" i="39"/>
  <c r="Z86" i="39"/>
  <c r="X86" i="39"/>
  <c r="N86" i="39"/>
  <c r="L86" i="39"/>
  <c r="B86" i="39"/>
  <c r="X85" i="39"/>
  <c r="Z85" i="39" s="1"/>
  <c r="L85" i="39"/>
  <c r="N85" i="39" s="1"/>
  <c r="B85" i="39"/>
  <c r="X84" i="39"/>
  <c r="Z84" i="39" s="1"/>
  <c r="L84" i="39"/>
  <c r="N84" i="39" s="1"/>
  <c r="B84" i="39"/>
  <c r="X83" i="39"/>
  <c r="Z83" i="39" s="1"/>
  <c r="T83" i="39"/>
  <c r="P83" i="39"/>
  <c r="H83" i="39"/>
  <c r="D83" i="39"/>
  <c r="B83" i="39"/>
  <c r="Z82" i="39"/>
  <c r="X82" i="39"/>
  <c r="N82" i="39"/>
  <c r="L82" i="39"/>
  <c r="B82" i="39"/>
  <c r="T81" i="39"/>
  <c r="P81" i="39"/>
  <c r="H81" i="39"/>
  <c r="D81" i="39"/>
  <c r="L81" i="39" s="1"/>
  <c r="B81" i="39"/>
  <c r="X80" i="39"/>
  <c r="Z80" i="39" s="1"/>
  <c r="L80" i="39"/>
  <c r="N80" i="39" s="1"/>
  <c r="B80" i="39"/>
  <c r="X79" i="39"/>
  <c r="Z79" i="39" s="1"/>
  <c r="L79" i="39"/>
  <c r="N79" i="39" s="1"/>
  <c r="B79" i="39"/>
  <c r="Z78" i="39"/>
  <c r="X78" i="39"/>
  <c r="N78" i="39"/>
  <c r="L78" i="39"/>
  <c r="B78" i="39"/>
  <c r="X77" i="39"/>
  <c r="Z77" i="39" s="1"/>
  <c r="L77" i="39"/>
  <c r="N77" i="39" s="1"/>
  <c r="B77" i="39"/>
  <c r="X76" i="39"/>
  <c r="Z76" i="39" s="1"/>
  <c r="T76" i="39"/>
  <c r="P76" i="39"/>
  <c r="N76" i="39"/>
  <c r="H76" i="39"/>
  <c r="D76" i="39"/>
  <c r="L76" i="39" s="1"/>
  <c r="B76" i="39"/>
  <c r="X75" i="39"/>
  <c r="Z75" i="39" s="1"/>
  <c r="L75" i="39"/>
  <c r="N75" i="39" s="1"/>
  <c r="B75" i="39"/>
  <c r="Z74" i="39"/>
  <c r="X74" i="39"/>
  <c r="N74" i="39"/>
  <c r="L74" i="39"/>
  <c r="B74" i="39"/>
  <c r="Z73" i="39"/>
  <c r="X73" i="39"/>
  <c r="N73" i="39"/>
  <c r="L73" i="39"/>
  <c r="B73" i="39"/>
  <c r="X72" i="39"/>
  <c r="Z72" i="39" s="1"/>
  <c r="T72" i="39"/>
  <c r="P72" i="39"/>
  <c r="N72" i="39"/>
  <c r="H72" i="39"/>
  <c r="D72" i="39"/>
  <c r="L72" i="39" s="1"/>
  <c r="B72" i="39"/>
  <c r="X71" i="39"/>
  <c r="Z71" i="39" s="1"/>
  <c r="L71" i="39"/>
  <c r="N71" i="39" s="1"/>
  <c r="B71" i="39"/>
  <c r="Z70" i="39"/>
  <c r="T70" i="39"/>
  <c r="P70" i="39"/>
  <c r="X70" i="39" s="1"/>
  <c r="H70" i="39"/>
  <c r="D70" i="39"/>
  <c r="L70" i="39" s="1"/>
  <c r="N70" i="39" s="1"/>
  <c r="B70" i="39"/>
  <c r="X69" i="39"/>
  <c r="Z69" i="39" s="1"/>
  <c r="L69" i="39"/>
  <c r="N69" i="39" s="1"/>
  <c r="B69" i="39"/>
  <c r="T68" i="39"/>
  <c r="P68" i="39"/>
  <c r="X68" i="39" s="1"/>
  <c r="Z68" i="39" s="1"/>
  <c r="N68" i="39"/>
  <c r="H68" i="39"/>
  <c r="D68" i="39"/>
  <c r="L68" i="39" s="1"/>
  <c r="B68" i="39"/>
  <c r="X67" i="39"/>
  <c r="Z67" i="39" s="1"/>
  <c r="L67" i="39"/>
  <c r="N67" i="39" s="1"/>
  <c r="B67" i="39"/>
  <c r="Z66" i="39"/>
  <c r="T66" i="39"/>
  <c r="P66" i="39"/>
  <c r="X66" i="39" s="1"/>
  <c r="L66" i="39"/>
  <c r="N66" i="39" s="1"/>
  <c r="H66" i="39"/>
  <c r="D66" i="39"/>
  <c r="B66" i="39"/>
  <c r="X65" i="39"/>
  <c r="Z65" i="39" s="1"/>
  <c r="L65" i="39"/>
  <c r="N65" i="39" s="1"/>
  <c r="B65" i="39"/>
  <c r="X64" i="39"/>
  <c r="Z64" i="39" s="1"/>
  <c r="T64" i="39"/>
  <c r="P64" i="39"/>
  <c r="H64" i="39"/>
  <c r="D64" i="39"/>
  <c r="L64" i="39" s="1"/>
  <c r="N64" i="39" s="1"/>
  <c r="B64" i="39"/>
  <c r="X63" i="39"/>
  <c r="Z63" i="39" s="1"/>
  <c r="L63" i="39"/>
  <c r="N63" i="39" s="1"/>
  <c r="B63" i="39"/>
  <c r="Z62" i="39"/>
  <c r="X62" i="39"/>
  <c r="N62" i="39"/>
  <c r="L62" i="39"/>
  <c r="B62" i="39"/>
  <c r="T61" i="39"/>
  <c r="P61" i="39"/>
  <c r="L61" i="39"/>
  <c r="H61" i="39"/>
  <c r="D61" i="39"/>
  <c r="B61" i="39"/>
  <c r="X60" i="39"/>
  <c r="Z60" i="39" s="1"/>
  <c r="L60" i="39"/>
  <c r="N60" i="39" s="1"/>
  <c r="B60" i="39"/>
  <c r="T59" i="39"/>
  <c r="P59" i="39"/>
  <c r="X59" i="39" s="1"/>
  <c r="H59" i="39"/>
  <c r="D59" i="39"/>
  <c r="B59" i="39"/>
  <c r="Z58" i="39"/>
  <c r="X58" i="39"/>
  <c r="N58" i="39"/>
  <c r="L58" i="39"/>
  <c r="B58" i="39"/>
  <c r="T57" i="39"/>
  <c r="Z57" i="39" s="1"/>
  <c r="P57" i="39"/>
  <c r="N57" i="39"/>
  <c r="L57" i="39"/>
  <c r="H57" i="39"/>
  <c r="D57" i="39"/>
  <c r="B57" i="39"/>
  <c r="X56" i="39"/>
  <c r="Z56" i="39" s="1"/>
  <c r="L56" i="39"/>
  <c r="N56" i="39" s="1"/>
  <c r="B56" i="39"/>
  <c r="X55" i="39"/>
  <c r="Z55" i="39" s="1"/>
  <c r="L55" i="39"/>
  <c r="N55" i="39" s="1"/>
  <c r="B55" i="39"/>
  <c r="T54" i="39"/>
  <c r="X54" i="39" s="1"/>
  <c r="Z54" i="39" s="1"/>
  <c r="P54" i="39"/>
  <c r="L54" i="39"/>
  <c r="N54" i="39" s="1"/>
  <c r="H54" i="39"/>
  <c r="D54" i="39"/>
  <c r="B54" i="39"/>
  <c r="X53" i="39"/>
  <c r="Z53" i="39" s="1"/>
  <c r="L53" i="39"/>
  <c r="N53" i="39" s="1"/>
  <c r="B53" i="39"/>
  <c r="X52" i="39"/>
  <c r="Z52" i="39" s="1"/>
  <c r="T52" i="39"/>
  <c r="P52" i="39"/>
  <c r="H52" i="39"/>
  <c r="D52" i="39"/>
  <c r="L52" i="39" s="1"/>
  <c r="N52" i="39" s="1"/>
  <c r="B52" i="39"/>
  <c r="X51" i="39"/>
  <c r="Z51" i="39" s="1"/>
  <c r="L51" i="39"/>
  <c r="N51" i="39" s="1"/>
  <c r="B51" i="39"/>
  <c r="T50" i="39"/>
  <c r="P50" i="39"/>
  <c r="X50" i="39" s="1"/>
  <c r="Z50" i="39" s="1"/>
  <c r="H50" i="39"/>
  <c r="D50" i="39"/>
  <c r="L50" i="39" s="1"/>
  <c r="N50" i="39" s="1"/>
  <c r="B50" i="39"/>
  <c r="X49" i="39"/>
  <c r="Z49" i="39" s="1"/>
  <c r="L49" i="39"/>
  <c r="N49" i="39" s="1"/>
  <c r="B49" i="39"/>
  <c r="T48" i="39"/>
  <c r="P48" i="39"/>
  <c r="X48" i="39" s="1"/>
  <c r="Z48" i="39" s="1"/>
  <c r="N48" i="39"/>
  <c r="H48" i="39"/>
  <c r="L48" i="39" s="1"/>
  <c r="D48" i="39"/>
  <c r="B48" i="39"/>
  <c r="X47" i="39"/>
  <c r="Z47" i="39" s="1"/>
  <c r="L47" i="39"/>
  <c r="N47" i="39" s="1"/>
  <c r="B47" i="39"/>
  <c r="Z46" i="39"/>
  <c r="X46" i="39"/>
  <c r="N46" i="39"/>
  <c r="L46" i="39"/>
  <c r="B46" i="39"/>
  <c r="X45" i="39"/>
  <c r="Z45" i="39" s="1"/>
  <c r="L45" i="39"/>
  <c r="N45" i="39" s="1"/>
  <c r="B45" i="39"/>
  <c r="X44" i="39"/>
  <c r="Z44" i="39" s="1"/>
  <c r="L44" i="39"/>
  <c r="N44" i="39" s="1"/>
  <c r="B44" i="39"/>
  <c r="X43" i="39"/>
  <c r="Z43" i="39" s="1"/>
  <c r="L43" i="39"/>
  <c r="N43" i="39" s="1"/>
  <c r="B43" i="39"/>
  <c r="Z42" i="39"/>
  <c r="T42" i="39"/>
  <c r="P42" i="39"/>
  <c r="X42" i="39" s="1"/>
  <c r="H42" i="39"/>
  <c r="D42" i="39"/>
  <c r="L42" i="39" s="1"/>
  <c r="N42" i="39" s="1"/>
  <c r="B42" i="39"/>
  <c r="X41" i="39"/>
  <c r="Z41" i="39" s="1"/>
  <c r="L41" i="39"/>
  <c r="N41" i="39" s="1"/>
  <c r="B41" i="39"/>
  <c r="X40" i="39"/>
  <c r="Z40" i="39" s="1"/>
  <c r="L40" i="39"/>
  <c r="N40" i="39" s="1"/>
  <c r="B40" i="39"/>
  <c r="X39" i="39"/>
  <c r="Z39" i="39" s="1"/>
  <c r="L39" i="39"/>
  <c r="N39" i="39" s="1"/>
  <c r="B39" i="39"/>
  <c r="Z38" i="39"/>
  <c r="X38" i="39"/>
  <c r="N38" i="39"/>
  <c r="L38" i="39"/>
  <c r="B38" i="39"/>
  <c r="X37" i="39"/>
  <c r="Z37" i="39" s="1"/>
  <c r="L37" i="39"/>
  <c r="N37" i="39" s="1"/>
  <c r="B37" i="39"/>
  <c r="X36" i="39"/>
  <c r="Z36" i="39" s="1"/>
  <c r="L36" i="39"/>
  <c r="N36" i="39" s="1"/>
  <c r="B36" i="39"/>
  <c r="X35" i="39"/>
  <c r="Z35" i="39" s="1"/>
  <c r="L35" i="39"/>
  <c r="N35" i="39" s="1"/>
  <c r="B35" i="39"/>
  <c r="Z34" i="39"/>
  <c r="X34" i="39"/>
  <c r="N34" i="39"/>
  <c r="L34" i="39"/>
  <c r="B34" i="39"/>
  <c r="T33" i="39"/>
  <c r="P33" i="39"/>
  <c r="X33" i="39" s="1"/>
  <c r="H33" i="39"/>
  <c r="D33" i="39"/>
  <c r="L33" i="39" s="1"/>
  <c r="N33" i="39" s="1"/>
  <c r="B33" i="39"/>
  <c r="X32" i="39"/>
  <c r="Z32" i="39" s="1"/>
  <c r="T32" i="39"/>
  <c r="P32" i="39"/>
  <c r="H32" i="39"/>
  <c r="D32" i="39"/>
  <c r="L32" i="39" s="1"/>
  <c r="N32" i="39" s="1"/>
  <c r="X28" i="39"/>
  <c r="Z28" i="39" s="1"/>
  <c r="L28" i="39"/>
  <c r="N28" i="39" s="1"/>
  <c r="B28" i="39"/>
  <c r="X27" i="39"/>
  <c r="Z27" i="39" s="1"/>
  <c r="L27" i="39"/>
  <c r="N27" i="39" s="1"/>
  <c r="B27" i="39"/>
  <c r="Z26" i="39"/>
  <c r="T26" i="39"/>
  <c r="X26" i="39" s="1"/>
  <c r="P26" i="39"/>
  <c r="L26" i="39"/>
  <c r="N26" i="39" s="1"/>
  <c r="H26" i="39"/>
  <c r="D26" i="39"/>
  <c r="Z24" i="39"/>
  <c r="T24" i="39"/>
  <c r="P24" i="39"/>
  <c r="X24" i="39" s="1"/>
  <c r="N24" i="39"/>
  <c r="H24" i="39"/>
  <c r="D24" i="39"/>
  <c r="L24" i="39" s="1"/>
  <c r="B24" i="39"/>
  <c r="T23" i="39"/>
  <c r="P23" i="39"/>
  <c r="X23" i="39" s="1"/>
  <c r="H23" i="39"/>
  <c r="D23" i="39"/>
  <c r="L23" i="39" s="1"/>
  <c r="B23" i="39"/>
  <c r="T22" i="39"/>
  <c r="P22" i="39"/>
  <c r="H22" i="39"/>
  <c r="D22" i="39"/>
  <c r="B22" i="39"/>
  <c r="Z21" i="39"/>
  <c r="X21" i="39"/>
  <c r="T21" i="39"/>
  <c r="P21" i="39"/>
  <c r="N21" i="39"/>
  <c r="L21" i="39"/>
  <c r="H21" i="39"/>
  <c r="D21" i="39"/>
  <c r="B21" i="39"/>
  <c r="T20" i="39"/>
  <c r="P20" i="39"/>
  <c r="X20" i="39" s="1"/>
  <c r="Z20" i="39" s="1"/>
  <c r="H20" i="39"/>
  <c r="D20" i="39"/>
  <c r="L20" i="39" s="1"/>
  <c r="N20" i="39" s="1"/>
  <c r="B20" i="39"/>
  <c r="T19" i="39"/>
  <c r="Z19" i="39" s="1"/>
  <c r="P19" i="39"/>
  <c r="X19" i="39" s="1"/>
  <c r="H19" i="39"/>
  <c r="N19" i="39" s="1"/>
  <c r="D19" i="39"/>
  <c r="L19" i="39" s="1"/>
  <c r="B19" i="39"/>
  <c r="T18" i="39"/>
  <c r="P18" i="39"/>
  <c r="H18" i="39"/>
  <c r="D18" i="39"/>
  <c r="B18" i="39"/>
  <c r="Z17" i="39"/>
  <c r="X17" i="39"/>
  <c r="T17" i="39"/>
  <c r="P17" i="39"/>
  <c r="N17" i="39"/>
  <c r="L17" i="39"/>
  <c r="H17" i="39"/>
  <c r="D17" i="39"/>
  <c r="B17" i="39"/>
  <c r="Z16" i="39"/>
  <c r="T16" i="39"/>
  <c r="P16" i="39"/>
  <c r="X16" i="39" s="1"/>
  <c r="N16" i="39"/>
  <c r="H16" i="39"/>
  <c r="D16" i="39"/>
  <c r="L16" i="39" s="1"/>
  <c r="B16" i="39"/>
  <c r="T15" i="39"/>
  <c r="Z15" i="39" s="1"/>
  <c r="P15" i="39"/>
  <c r="H15" i="39"/>
  <c r="N15" i="39" s="1"/>
  <c r="D15" i="39"/>
  <c r="B15" i="39"/>
  <c r="T14" i="39"/>
  <c r="P14" i="39"/>
  <c r="H14" i="39"/>
  <c r="D14" i="39"/>
  <c r="B14" i="39"/>
  <c r="Z13" i="39"/>
  <c r="X13" i="39"/>
  <c r="T13" i="39"/>
  <c r="P13" i="39"/>
  <c r="N13" i="39"/>
  <c r="L13" i="39"/>
  <c r="H13" i="39"/>
  <c r="D13" i="39"/>
  <c r="B13" i="39"/>
  <c r="D4" i="39"/>
  <c r="B39" i="38"/>
  <c r="B38" i="38"/>
  <c r="T34" i="38"/>
  <c r="Z34" i="38" s="1"/>
  <c r="P34" i="38"/>
  <c r="H34" i="38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N22" i="38" s="1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Z13" i="38" s="1"/>
  <c r="P13" i="38"/>
  <c r="H13" i="38"/>
  <c r="N13" i="38" s="1"/>
  <c r="D13" i="38"/>
  <c r="B13" i="38"/>
  <c r="T12" i="38"/>
  <c r="V34" i="38" s="1"/>
  <c r="P12" i="38"/>
  <c r="R25" i="38" s="1"/>
  <c r="H12" i="38"/>
  <c r="J21" i="38" s="1"/>
  <c r="D12" i="38"/>
  <c r="D5" i="38"/>
  <c r="D4" i="38"/>
  <c r="B39" i="37"/>
  <c r="B38" i="37"/>
  <c r="T34" i="37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N24" i="37" s="1"/>
  <c r="D24" i="37"/>
  <c r="T22" i="37"/>
  <c r="P22" i="37"/>
  <c r="H22" i="37"/>
  <c r="N22" i="37" s="1"/>
  <c r="D22" i="37"/>
  <c r="B22" i="37"/>
  <c r="T21" i="37"/>
  <c r="Z21" i="37" s="1"/>
  <c r="P21" i="37"/>
  <c r="H21" i="37"/>
  <c r="D21" i="37"/>
  <c r="B21" i="37"/>
  <c r="T20" i="37"/>
  <c r="Z20" i="37" s="1"/>
  <c r="P20" i="37"/>
  <c r="H20" i="37"/>
  <c r="D20" i="37"/>
  <c r="T16" i="37"/>
  <c r="Z16" i="37" s="1"/>
  <c r="P16" i="37"/>
  <c r="H16" i="37"/>
  <c r="D16" i="37"/>
  <c r="B16" i="37"/>
  <c r="T15" i="37"/>
  <c r="Z15" i="37" s="1"/>
  <c r="P15" i="37"/>
  <c r="H15" i="37"/>
  <c r="N15" i="37" s="1"/>
  <c r="D15" i="37"/>
  <c r="T13" i="37"/>
  <c r="Z13" i="37" s="1"/>
  <c r="P13" i="37"/>
  <c r="H13" i="37"/>
  <c r="N13" i="37" s="1"/>
  <c r="D13" i="37"/>
  <c r="B13" i="37"/>
  <c r="T12" i="37"/>
  <c r="V20" i="37" s="1"/>
  <c r="P12" i="37"/>
  <c r="R34" i="37" s="1"/>
  <c r="H12" i="37"/>
  <c r="J24" i="37" s="1"/>
  <c r="D12" i="37"/>
  <c r="F21" i="37" s="1"/>
  <c r="D5" i="37"/>
  <c r="D4" i="37"/>
  <c r="X107" i="36"/>
  <c r="Z107" i="36" s="1"/>
  <c r="L107" i="36"/>
  <c r="N107" i="36" s="1"/>
  <c r="T103" i="36"/>
  <c r="P103" i="36"/>
  <c r="P100" i="36" s="1"/>
  <c r="H103" i="36"/>
  <c r="D103" i="36"/>
  <c r="B103" i="36"/>
  <c r="Z102" i="36"/>
  <c r="T102" i="36"/>
  <c r="P102" i="36"/>
  <c r="X102" i="36" s="1"/>
  <c r="N102" i="36"/>
  <c r="H102" i="36"/>
  <c r="D102" i="36"/>
  <c r="L102" i="36" s="1"/>
  <c r="B102" i="36"/>
  <c r="T101" i="36"/>
  <c r="P101" i="36"/>
  <c r="H101" i="36"/>
  <c r="D101" i="36"/>
  <c r="D100" i="36" s="1"/>
  <c r="B101" i="36"/>
  <c r="X98" i="36"/>
  <c r="Z98" i="36" s="1"/>
  <c r="L98" i="36"/>
  <c r="N98" i="36" s="1"/>
  <c r="B98" i="36"/>
  <c r="T97" i="36"/>
  <c r="P97" i="36"/>
  <c r="X97" i="36" s="1"/>
  <c r="H97" i="36"/>
  <c r="D97" i="36"/>
  <c r="L97" i="36" s="1"/>
  <c r="B97" i="36"/>
  <c r="Z96" i="36"/>
  <c r="X96" i="36"/>
  <c r="N96" i="36"/>
  <c r="L96" i="36"/>
  <c r="B96" i="36"/>
  <c r="Z95" i="36"/>
  <c r="X95" i="36"/>
  <c r="N95" i="36"/>
  <c r="L95" i="36"/>
  <c r="B95" i="36"/>
  <c r="V94" i="36"/>
  <c r="T94" i="36"/>
  <c r="P94" i="36"/>
  <c r="X94" i="36" s="1"/>
  <c r="Z94" i="36" s="1"/>
  <c r="H94" i="36"/>
  <c r="L94" i="36" s="1"/>
  <c r="N94" i="36" s="1"/>
  <c r="D94" i="36"/>
  <c r="B94" i="36"/>
  <c r="X93" i="36"/>
  <c r="Z93" i="36" s="1"/>
  <c r="N93" i="36"/>
  <c r="L93" i="36"/>
  <c r="B93" i="36"/>
  <c r="Z92" i="36"/>
  <c r="T92" i="36"/>
  <c r="X92" i="36" s="1"/>
  <c r="P92" i="36"/>
  <c r="N92" i="36"/>
  <c r="L92" i="36"/>
  <c r="H92" i="36"/>
  <c r="D92" i="36"/>
  <c r="B92" i="36"/>
  <c r="X91" i="36"/>
  <c r="Z91" i="36" s="1"/>
  <c r="L91" i="36"/>
  <c r="N91" i="36" s="1"/>
  <c r="B91" i="36"/>
  <c r="X90" i="36"/>
  <c r="Z90" i="36" s="1"/>
  <c r="T90" i="36"/>
  <c r="P90" i="36"/>
  <c r="N90" i="36"/>
  <c r="H90" i="36"/>
  <c r="D90" i="36"/>
  <c r="L90" i="36" s="1"/>
  <c r="B90" i="36"/>
  <c r="X89" i="36"/>
  <c r="Z89" i="36" s="1"/>
  <c r="L89" i="36"/>
  <c r="N89" i="36" s="1"/>
  <c r="B89" i="36"/>
  <c r="Z88" i="36"/>
  <c r="X88" i="36"/>
  <c r="N88" i="36"/>
  <c r="L88" i="36"/>
  <c r="B88" i="36"/>
  <c r="X87" i="36"/>
  <c r="Z87" i="36" s="1"/>
  <c r="N87" i="36"/>
  <c r="L87" i="36"/>
  <c r="B87" i="36"/>
  <c r="X86" i="36"/>
  <c r="Z86" i="36" s="1"/>
  <c r="L86" i="36"/>
  <c r="N86" i="36" s="1"/>
  <c r="B86" i="36"/>
  <c r="X85" i="36"/>
  <c r="Z85" i="36" s="1"/>
  <c r="L85" i="36"/>
  <c r="N85" i="36" s="1"/>
  <c r="B85" i="36"/>
  <c r="Z84" i="36"/>
  <c r="X84" i="36"/>
  <c r="N84" i="36"/>
  <c r="L84" i="36"/>
  <c r="B84" i="36"/>
  <c r="X83" i="36"/>
  <c r="Z83" i="36" s="1"/>
  <c r="L83" i="36"/>
  <c r="N83" i="36" s="1"/>
  <c r="B83" i="36"/>
  <c r="X82" i="36"/>
  <c r="Z82" i="36" s="1"/>
  <c r="N82" i="36"/>
  <c r="L82" i="36"/>
  <c r="B82" i="36"/>
  <c r="T81" i="36"/>
  <c r="P81" i="36"/>
  <c r="X81" i="36" s="1"/>
  <c r="H81" i="36"/>
  <c r="D81" i="36"/>
  <c r="L81" i="36" s="1"/>
  <c r="B81" i="36"/>
  <c r="Z80" i="36"/>
  <c r="X80" i="36"/>
  <c r="N80" i="36"/>
  <c r="L80" i="36"/>
  <c r="B80" i="36"/>
  <c r="T79" i="36"/>
  <c r="P79" i="36"/>
  <c r="X79" i="36" s="1"/>
  <c r="L79" i="36"/>
  <c r="N79" i="36" s="1"/>
  <c r="H79" i="36"/>
  <c r="D79" i="36"/>
  <c r="B79" i="36"/>
  <c r="X78" i="36"/>
  <c r="Z78" i="36" s="1"/>
  <c r="L78" i="36"/>
  <c r="N78" i="36" s="1"/>
  <c r="B78" i="36"/>
  <c r="X77" i="36"/>
  <c r="Z77" i="36" s="1"/>
  <c r="L77" i="36"/>
  <c r="N77" i="36" s="1"/>
  <c r="B77" i="36"/>
  <c r="Z76" i="36"/>
  <c r="X76" i="36"/>
  <c r="N76" i="36"/>
  <c r="L76" i="36"/>
  <c r="B76" i="36"/>
  <c r="X75" i="36"/>
  <c r="Z75" i="36" s="1"/>
  <c r="L75" i="36"/>
  <c r="N75" i="36" s="1"/>
  <c r="B75" i="36"/>
  <c r="T74" i="36"/>
  <c r="P74" i="36"/>
  <c r="X74" i="36" s="1"/>
  <c r="Z74" i="36" s="1"/>
  <c r="N74" i="36"/>
  <c r="H74" i="36"/>
  <c r="D74" i="36"/>
  <c r="L74" i="36" s="1"/>
  <c r="B74" i="36"/>
  <c r="X73" i="36"/>
  <c r="Z73" i="36" s="1"/>
  <c r="L73" i="36"/>
  <c r="N73" i="36" s="1"/>
  <c r="B73" i="36"/>
  <c r="Z72" i="36"/>
  <c r="X72" i="36"/>
  <c r="N72" i="36"/>
  <c r="L72" i="36"/>
  <c r="B72" i="36"/>
  <c r="Z71" i="36"/>
  <c r="X71" i="36"/>
  <c r="N71" i="36"/>
  <c r="L71" i="36"/>
  <c r="B71" i="36"/>
  <c r="T70" i="36"/>
  <c r="P70" i="36"/>
  <c r="X70" i="36" s="1"/>
  <c r="Z70" i="36" s="1"/>
  <c r="H70" i="36"/>
  <c r="L70" i="36" s="1"/>
  <c r="N70" i="36" s="1"/>
  <c r="D70" i="36"/>
  <c r="B70" i="36"/>
  <c r="X69" i="36"/>
  <c r="Z69" i="36" s="1"/>
  <c r="L69" i="36"/>
  <c r="N69" i="36" s="1"/>
  <c r="B69" i="36"/>
  <c r="Z68" i="36"/>
  <c r="T68" i="36"/>
  <c r="P68" i="36"/>
  <c r="X68" i="36" s="1"/>
  <c r="L68" i="36"/>
  <c r="N68" i="36" s="1"/>
  <c r="H68" i="36"/>
  <c r="D68" i="36"/>
  <c r="B68" i="36"/>
  <c r="X67" i="36"/>
  <c r="Z67" i="36" s="1"/>
  <c r="L67" i="36"/>
  <c r="N67" i="36" s="1"/>
  <c r="B67" i="36"/>
  <c r="X66" i="36"/>
  <c r="Z66" i="36" s="1"/>
  <c r="T66" i="36"/>
  <c r="P66" i="36"/>
  <c r="H66" i="36"/>
  <c r="L66" i="36" s="1"/>
  <c r="N66" i="36" s="1"/>
  <c r="D66" i="36"/>
  <c r="B66" i="36"/>
  <c r="X65" i="36"/>
  <c r="Z65" i="36" s="1"/>
  <c r="L65" i="36"/>
  <c r="N65" i="36" s="1"/>
  <c r="B65" i="36"/>
  <c r="T64" i="36"/>
  <c r="X64" i="36" s="1"/>
  <c r="Z64" i="36" s="1"/>
  <c r="P64" i="36"/>
  <c r="H64" i="36"/>
  <c r="D64" i="36"/>
  <c r="L64" i="36" s="1"/>
  <c r="N64" i="36" s="1"/>
  <c r="B64" i="36"/>
  <c r="X63" i="36"/>
  <c r="Z63" i="36" s="1"/>
  <c r="L63" i="36"/>
  <c r="N63" i="36" s="1"/>
  <c r="B63" i="36"/>
  <c r="T62" i="36"/>
  <c r="P62" i="36"/>
  <c r="X62" i="36" s="1"/>
  <c r="Z62" i="36" s="1"/>
  <c r="H62" i="36"/>
  <c r="L62" i="36" s="1"/>
  <c r="N62" i="36" s="1"/>
  <c r="D62" i="36"/>
  <c r="B62" i="36"/>
  <c r="X61" i="36"/>
  <c r="Z61" i="36" s="1"/>
  <c r="L61" i="36"/>
  <c r="N61" i="36" s="1"/>
  <c r="B61" i="36"/>
  <c r="T60" i="36"/>
  <c r="P60" i="36"/>
  <c r="X60" i="36" s="1"/>
  <c r="Z60" i="36" s="1"/>
  <c r="L60" i="36"/>
  <c r="N60" i="36" s="1"/>
  <c r="H60" i="36"/>
  <c r="D60" i="36"/>
  <c r="B60" i="36"/>
  <c r="X59" i="36"/>
  <c r="Z59" i="36" s="1"/>
  <c r="L59" i="36"/>
  <c r="N59" i="36" s="1"/>
  <c r="B59" i="36"/>
  <c r="X58" i="36"/>
  <c r="Z58" i="36" s="1"/>
  <c r="V58" i="36"/>
  <c r="T58" i="36"/>
  <c r="P58" i="36"/>
  <c r="N58" i="36"/>
  <c r="H58" i="36"/>
  <c r="D58" i="36"/>
  <c r="L58" i="36" s="1"/>
  <c r="B58" i="36"/>
  <c r="X57" i="36"/>
  <c r="Z57" i="36" s="1"/>
  <c r="L57" i="36"/>
  <c r="N57" i="36" s="1"/>
  <c r="B57" i="36"/>
  <c r="Z56" i="36"/>
  <c r="T56" i="36"/>
  <c r="P56" i="36"/>
  <c r="X56" i="36" s="1"/>
  <c r="H56" i="36"/>
  <c r="D56" i="36"/>
  <c r="L56" i="36" s="1"/>
  <c r="N56" i="36" s="1"/>
  <c r="B56" i="36"/>
  <c r="Z55" i="36"/>
  <c r="X55" i="36"/>
  <c r="N55" i="36"/>
  <c r="L55" i="36"/>
  <c r="B55" i="36"/>
  <c r="Z54" i="36"/>
  <c r="T54" i="36"/>
  <c r="P54" i="36"/>
  <c r="X54" i="36" s="1"/>
  <c r="N54" i="36"/>
  <c r="H54" i="36"/>
  <c r="D54" i="36"/>
  <c r="L54" i="36" s="1"/>
  <c r="B54" i="36"/>
  <c r="X53" i="36"/>
  <c r="Z53" i="36" s="1"/>
  <c r="L53" i="36"/>
  <c r="N53" i="36" s="1"/>
  <c r="B53" i="36"/>
  <c r="Z52" i="36"/>
  <c r="T52" i="36"/>
  <c r="P52" i="36"/>
  <c r="X52" i="36" s="1"/>
  <c r="L52" i="36"/>
  <c r="N52" i="36" s="1"/>
  <c r="H52" i="36"/>
  <c r="D52" i="36"/>
  <c r="B52" i="36"/>
  <c r="X51" i="36"/>
  <c r="Z51" i="36" s="1"/>
  <c r="L51" i="36"/>
  <c r="N51" i="36" s="1"/>
  <c r="B51" i="36"/>
  <c r="X50" i="36"/>
  <c r="Z50" i="36" s="1"/>
  <c r="L50" i="36"/>
  <c r="N50" i="36" s="1"/>
  <c r="B50" i="36"/>
  <c r="T49" i="36"/>
  <c r="P49" i="36"/>
  <c r="X49" i="36" s="1"/>
  <c r="Z49" i="36" s="1"/>
  <c r="H49" i="36"/>
  <c r="D49" i="36"/>
  <c r="B49" i="36"/>
  <c r="Z48" i="36"/>
  <c r="X48" i="36"/>
  <c r="N48" i="36"/>
  <c r="L48" i="36"/>
  <c r="B48" i="36"/>
  <c r="T47" i="36"/>
  <c r="P47" i="36"/>
  <c r="H47" i="36"/>
  <c r="D47" i="36"/>
  <c r="L47" i="36" s="1"/>
  <c r="B47" i="36"/>
  <c r="X46" i="36"/>
  <c r="Z46" i="36" s="1"/>
  <c r="L46" i="36"/>
  <c r="N46" i="36" s="1"/>
  <c r="B46" i="36"/>
  <c r="X45" i="36"/>
  <c r="T45" i="36"/>
  <c r="Z45" i="36" s="1"/>
  <c r="P45" i="36"/>
  <c r="H45" i="36"/>
  <c r="D45" i="36"/>
  <c r="L45" i="36" s="1"/>
  <c r="B45" i="36"/>
  <c r="Z44" i="36"/>
  <c r="X44" i="36"/>
  <c r="N44" i="36"/>
  <c r="L44" i="36"/>
  <c r="B44" i="36"/>
  <c r="T43" i="36"/>
  <c r="P43" i="36"/>
  <c r="X43" i="36" s="1"/>
  <c r="L43" i="36"/>
  <c r="N43" i="36" s="1"/>
  <c r="H43" i="36"/>
  <c r="D43" i="36"/>
  <c r="B43" i="36"/>
  <c r="X42" i="36"/>
  <c r="Z42" i="36" s="1"/>
  <c r="L42" i="36"/>
  <c r="N42" i="36" s="1"/>
  <c r="B42" i="36"/>
  <c r="X41" i="36"/>
  <c r="Z41" i="36" s="1"/>
  <c r="L41" i="36"/>
  <c r="N41" i="36" s="1"/>
  <c r="B41" i="36"/>
  <c r="Z40" i="36"/>
  <c r="X40" i="36"/>
  <c r="N40" i="36"/>
  <c r="L40" i="36"/>
  <c r="B40" i="36"/>
  <c r="X39" i="36"/>
  <c r="Z39" i="36" s="1"/>
  <c r="L39" i="36"/>
  <c r="N39" i="36" s="1"/>
  <c r="B39" i="36"/>
  <c r="X38" i="36"/>
  <c r="Z38" i="36" s="1"/>
  <c r="L38" i="36"/>
  <c r="N38" i="36" s="1"/>
  <c r="B38" i="36"/>
  <c r="X37" i="36"/>
  <c r="Z37" i="36" s="1"/>
  <c r="L37" i="36"/>
  <c r="N37" i="36" s="1"/>
  <c r="B37" i="36"/>
  <c r="Z36" i="36"/>
  <c r="T36" i="36"/>
  <c r="P36" i="36"/>
  <c r="X36" i="36" s="1"/>
  <c r="H36" i="36"/>
  <c r="D36" i="36"/>
  <c r="L36" i="36" s="1"/>
  <c r="N36" i="36" s="1"/>
  <c r="B36" i="36"/>
  <c r="X35" i="36"/>
  <c r="Z35" i="36" s="1"/>
  <c r="L35" i="36"/>
  <c r="N35" i="36" s="1"/>
  <c r="B35" i="36"/>
  <c r="X34" i="36"/>
  <c r="Z34" i="36" s="1"/>
  <c r="V34" i="36"/>
  <c r="L34" i="36"/>
  <c r="N34" i="36" s="1"/>
  <c r="B34" i="36"/>
  <c r="X33" i="36"/>
  <c r="Z33" i="36" s="1"/>
  <c r="L33" i="36"/>
  <c r="N33" i="36" s="1"/>
  <c r="B33" i="36"/>
  <c r="Z32" i="36"/>
  <c r="X32" i="36"/>
  <c r="N32" i="36"/>
  <c r="L32" i="36"/>
  <c r="B32" i="36"/>
  <c r="X31" i="36"/>
  <c r="Z31" i="36" s="1"/>
  <c r="L31" i="36"/>
  <c r="N31" i="36" s="1"/>
  <c r="B31" i="36"/>
  <c r="X30" i="36"/>
  <c r="Z30" i="36" s="1"/>
  <c r="L30" i="36"/>
  <c r="N30" i="36" s="1"/>
  <c r="B30" i="36"/>
  <c r="X29" i="36"/>
  <c r="Z29" i="36" s="1"/>
  <c r="L29" i="36"/>
  <c r="N29" i="36" s="1"/>
  <c r="B29" i="36"/>
  <c r="Z28" i="36"/>
  <c r="X28" i="36"/>
  <c r="N28" i="36"/>
  <c r="L28" i="36"/>
  <c r="B28" i="36"/>
  <c r="X27" i="36"/>
  <c r="Z27" i="36" s="1"/>
  <c r="L27" i="36"/>
  <c r="N27" i="36" s="1"/>
  <c r="B27" i="36"/>
  <c r="T26" i="36"/>
  <c r="P26" i="36"/>
  <c r="X26" i="36" s="1"/>
  <c r="Z26" i="36" s="1"/>
  <c r="H26" i="36"/>
  <c r="L26" i="36" s="1"/>
  <c r="N26" i="36" s="1"/>
  <c r="D26" i="36"/>
  <c r="B26" i="36"/>
  <c r="T25" i="36"/>
  <c r="P25" i="36"/>
  <c r="X25" i="36" s="1"/>
  <c r="Z25" i="36" s="1"/>
  <c r="H25" i="36"/>
  <c r="D25" i="36"/>
  <c r="L25" i="36" s="1"/>
  <c r="X21" i="36"/>
  <c r="Z21" i="36" s="1"/>
  <c r="L21" i="36"/>
  <c r="N21" i="36" s="1"/>
  <c r="B21" i="36"/>
  <c r="Z20" i="36"/>
  <c r="X20" i="36"/>
  <c r="N20" i="36"/>
  <c r="L20" i="36"/>
  <c r="B20" i="36"/>
  <c r="T19" i="36"/>
  <c r="P19" i="36"/>
  <c r="H19" i="36"/>
  <c r="D19" i="36"/>
  <c r="L19" i="36" s="1"/>
  <c r="N19" i="36" s="1"/>
  <c r="T17" i="36"/>
  <c r="Z17" i="36" s="1"/>
  <c r="P17" i="36"/>
  <c r="X17" i="36" s="1"/>
  <c r="H17" i="36"/>
  <c r="D17" i="36"/>
  <c r="L17" i="36" s="1"/>
  <c r="B17" i="36"/>
  <c r="T16" i="36"/>
  <c r="P16" i="36"/>
  <c r="H16" i="36"/>
  <c r="D16" i="36"/>
  <c r="B16" i="36"/>
  <c r="X15" i="36"/>
  <c r="Z15" i="36" s="1"/>
  <c r="T15" i="36"/>
  <c r="P15" i="36"/>
  <c r="N15" i="36"/>
  <c r="L15" i="36"/>
  <c r="H15" i="36"/>
  <c r="D15" i="36"/>
  <c r="B15" i="36"/>
  <c r="T14" i="36"/>
  <c r="P14" i="36"/>
  <c r="X14" i="36" s="1"/>
  <c r="Z14" i="36" s="1"/>
  <c r="H14" i="36"/>
  <c r="D14" i="36"/>
  <c r="L14" i="36" s="1"/>
  <c r="N14" i="36" s="1"/>
  <c r="B14" i="36"/>
  <c r="T13" i="36"/>
  <c r="P13" i="36"/>
  <c r="H13" i="36"/>
  <c r="D13" i="36"/>
  <c r="B13" i="36"/>
  <c r="T12" i="36"/>
  <c r="D4" i="36"/>
  <c r="B39" i="35"/>
  <c r="B38" i="35"/>
  <c r="T34" i="35"/>
  <c r="P34" i="35"/>
  <c r="H34" i="35"/>
  <c r="N34" i="35" s="1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N24" i="35" s="1"/>
  <c r="D24" i="35"/>
  <c r="T22" i="35"/>
  <c r="Z22" i="35" s="1"/>
  <c r="P22" i="35"/>
  <c r="H22" i="35"/>
  <c r="N22" i="35" s="1"/>
  <c r="D22" i="35"/>
  <c r="B22" i="35"/>
  <c r="T21" i="35"/>
  <c r="Z21" i="35" s="1"/>
  <c r="P21" i="35"/>
  <c r="H21" i="35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N13" i="35" s="1"/>
  <c r="D13" i="35"/>
  <c r="B13" i="35"/>
  <c r="T12" i="35"/>
  <c r="V24" i="35" s="1"/>
  <c r="P12" i="35"/>
  <c r="R36" i="35" s="1"/>
  <c r="H12" i="35"/>
  <c r="J20" i="35" s="1"/>
  <c r="D12" i="35"/>
  <c r="F29" i="35" s="1"/>
  <c r="D5" i="35"/>
  <c r="D4" i="35"/>
  <c r="B39" i="34"/>
  <c r="B38" i="34"/>
  <c r="T34" i="34"/>
  <c r="Z34" i="34" s="1"/>
  <c r="P34" i="34"/>
  <c r="H34" i="34"/>
  <c r="N34" i="34" s="1"/>
  <c r="D34" i="34"/>
  <c r="T33" i="34"/>
  <c r="Z33" i="34" s="1"/>
  <c r="P33" i="34"/>
  <c r="H33" i="34"/>
  <c r="N33" i="34" s="1"/>
  <c r="D33" i="34"/>
  <c r="T29" i="34"/>
  <c r="Z29" i="34" s="1"/>
  <c r="P29" i="34"/>
  <c r="H29" i="34"/>
  <c r="N29" i="34" s="1"/>
  <c r="D29" i="34"/>
  <c r="T25" i="34"/>
  <c r="Z25" i="34" s="1"/>
  <c r="P25" i="34"/>
  <c r="H25" i="34"/>
  <c r="N25" i="34" s="1"/>
  <c r="D25" i="34"/>
  <c r="B25" i="34"/>
  <c r="T24" i="34"/>
  <c r="Z24" i="34" s="1"/>
  <c r="P24" i="34"/>
  <c r="H24" i="34"/>
  <c r="D24" i="34"/>
  <c r="T22" i="34"/>
  <c r="Z22" i="34" s="1"/>
  <c r="P22" i="34"/>
  <c r="H22" i="34"/>
  <c r="N22" i="34" s="1"/>
  <c r="D22" i="34"/>
  <c r="B22" i="34"/>
  <c r="T21" i="34"/>
  <c r="Z21" i="34" s="1"/>
  <c r="P21" i="34"/>
  <c r="H21" i="34"/>
  <c r="N21" i="34" s="1"/>
  <c r="D21" i="34"/>
  <c r="B21" i="34"/>
  <c r="T20" i="34"/>
  <c r="P20" i="34"/>
  <c r="H20" i="34"/>
  <c r="N20" i="34" s="1"/>
  <c r="D20" i="34"/>
  <c r="T16" i="34"/>
  <c r="P16" i="34"/>
  <c r="H16" i="34"/>
  <c r="N16" i="34" s="1"/>
  <c r="D16" i="34"/>
  <c r="B16" i="34"/>
  <c r="T15" i="34"/>
  <c r="Z15" i="34" s="1"/>
  <c r="P15" i="34"/>
  <c r="H15" i="34"/>
  <c r="N15" i="34" s="1"/>
  <c r="D15" i="34"/>
  <c r="T13" i="34"/>
  <c r="P13" i="34"/>
  <c r="H13" i="34"/>
  <c r="D13" i="34"/>
  <c r="B13" i="34"/>
  <c r="T12" i="34"/>
  <c r="V34" i="34" s="1"/>
  <c r="P12" i="34"/>
  <c r="R18" i="34" s="1"/>
  <c r="H12" i="34"/>
  <c r="J20" i="34" s="1"/>
  <c r="D12" i="34"/>
  <c r="F22" i="34" s="1"/>
  <c r="D5" i="34"/>
  <c r="D4" i="34"/>
  <c r="X78" i="33"/>
  <c r="Z78" i="33" s="1"/>
  <c r="L78" i="33"/>
  <c r="N78" i="33" s="1"/>
  <c r="T74" i="33"/>
  <c r="P74" i="33"/>
  <c r="N74" i="33"/>
  <c r="L74" i="33"/>
  <c r="H74" i="33"/>
  <c r="D74" i="33"/>
  <c r="D72" i="33" s="1"/>
  <c r="B74" i="33"/>
  <c r="X73" i="33"/>
  <c r="Z73" i="33" s="1"/>
  <c r="T73" i="33"/>
  <c r="P73" i="33"/>
  <c r="H73" i="33"/>
  <c r="L73" i="33" s="1"/>
  <c r="N73" i="33" s="1"/>
  <c r="D73" i="33"/>
  <c r="B73" i="33"/>
  <c r="P72" i="33"/>
  <c r="H72" i="33"/>
  <c r="X70" i="33"/>
  <c r="Z70" i="33" s="1"/>
  <c r="N70" i="33"/>
  <c r="L70" i="33"/>
  <c r="B70" i="33"/>
  <c r="T69" i="33"/>
  <c r="P69" i="33"/>
  <c r="X69" i="33" s="1"/>
  <c r="Z69" i="33" s="1"/>
  <c r="N69" i="33"/>
  <c r="L69" i="33"/>
  <c r="H69" i="33"/>
  <c r="D69" i="33"/>
  <c r="B69" i="33"/>
  <c r="X68" i="33"/>
  <c r="Z68" i="33" s="1"/>
  <c r="L68" i="33"/>
  <c r="N68" i="33" s="1"/>
  <c r="B68" i="33"/>
  <c r="X67" i="33"/>
  <c r="Z67" i="33" s="1"/>
  <c r="T67" i="33"/>
  <c r="P67" i="33"/>
  <c r="H67" i="33"/>
  <c r="L67" i="33" s="1"/>
  <c r="N67" i="33" s="1"/>
  <c r="D67" i="33"/>
  <c r="B67" i="33"/>
  <c r="X66" i="33"/>
  <c r="Z66" i="33" s="1"/>
  <c r="L66" i="33"/>
  <c r="N66" i="33" s="1"/>
  <c r="B66" i="33"/>
  <c r="Z65" i="33"/>
  <c r="X65" i="33"/>
  <c r="N65" i="33"/>
  <c r="L65" i="33"/>
  <c r="B65" i="33"/>
  <c r="X64" i="33"/>
  <c r="Z64" i="33" s="1"/>
  <c r="N64" i="33"/>
  <c r="L64" i="33"/>
  <c r="B64" i="33"/>
  <c r="X63" i="33"/>
  <c r="Z63" i="33" s="1"/>
  <c r="N63" i="33"/>
  <c r="L63" i="33"/>
  <c r="B63" i="33"/>
  <c r="X62" i="33"/>
  <c r="Z62" i="33" s="1"/>
  <c r="N62" i="33"/>
  <c r="L62" i="33"/>
  <c r="B62" i="33"/>
  <c r="T61" i="33"/>
  <c r="P61" i="33"/>
  <c r="X61" i="33" s="1"/>
  <c r="Z61" i="33" s="1"/>
  <c r="L61" i="33"/>
  <c r="N61" i="33" s="1"/>
  <c r="H61" i="33"/>
  <c r="D61" i="33"/>
  <c r="B61" i="33"/>
  <c r="X60" i="33"/>
  <c r="Z60" i="33" s="1"/>
  <c r="L60" i="33"/>
  <c r="N60" i="33" s="1"/>
  <c r="B60" i="33"/>
  <c r="X59" i="33"/>
  <c r="Z59" i="33" s="1"/>
  <c r="T59" i="33"/>
  <c r="P59" i="33"/>
  <c r="H59" i="33"/>
  <c r="L59" i="33" s="1"/>
  <c r="N59" i="33" s="1"/>
  <c r="D59" i="33"/>
  <c r="B59" i="33"/>
  <c r="Z58" i="33"/>
  <c r="X58" i="33"/>
  <c r="N58" i="33"/>
  <c r="L58" i="33"/>
  <c r="B58" i="33"/>
  <c r="Z57" i="33"/>
  <c r="X57" i="33"/>
  <c r="N57" i="33"/>
  <c r="L57" i="33"/>
  <c r="B57" i="33"/>
  <c r="T56" i="33"/>
  <c r="P56" i="33"/>
  <c r="H56" i="33"/>
  <c r="D56" i="33"/>
  <c r="L56" i="33" s="1"/>
  <c r="N56" i="33" s="1"/>
  <c r="B56" i="33"/>
  <c r="Z55" i="33"/>
  <c r="X55" i="33"/>
  <c r="N55" i="33"/>
  <c r="L55" i="33"/>
  <c r="B55" i="33"/>
  <c r="Z54" i="33"/>
  <c r="T54" i="33"/>
  <c r="P54" i="33"/>
  <c r="X54" i="33" s="1"/>
  <c r="H54" i="33"/>
  <c r="D54" i="33"/>
  <c r="B54" i="33"/>
  <c r="Z53" i="33"/>
  <c r="X53" i="33"/>
  <c r="N53" i="33"/>
  <c r="L53" i="33"/>
  <c r="B53" i="33"/>
  <c r="X52" i="33"/>
  <c r="Z52" i="33" s="1"/>
  <c r="L52" i="33"/>
  <c r="N52" i="33" s="1"/>
  <c r="B52" i="33"/>
  <c r="T51" i="33"/>
  <c r="P51" i="33"/>
  <c r="X51" i="33" s="1"/>
  <c r="Z51" i="33" s="1"/>
  <c r="H51" i="33"/>
  <c r="L51" i="33" s="1"/>
  <c r="N51" i="33" s="1"/>
  <c r="D51" i="33"/>
  <c r="B51" i="33"/>
  <c r="X50" i="33"/>
  <c r="Z50" i="33" s="1"/>
  <c r="L50" i="33"/>
  <c r="N50" i="33" s="1"/>
  <c r="B50" i="33"/>
  <c r="T49" i="33"/>
  <c r="P49" i="33"/>
  <c r="X49" i="33" s="1"/>
  <c r="Z49" i="33" s="1"/>
  <c r="L49" i="33"/>
  <c r="N49" i="33" s="1"/>
  <c r="H49" i="33"/>
  <c r="D49" i="33"/>
  <c r="B49" i="33"/>
  <c r="Z48" i="33"/>
  <c r="X48" i="33"/>
  <c r="N48" i="33"/>
  <c r="L48" i="33"/>
  <c r="B48" i="33"/>
  <c r="Z47" i="33"/>
  <c r="X47" i="33"/>
  <c r="T47" i="33"/>
  <c r="P47" i="33"/>
  <c r="N47" i="33"/>
  <c r="H47" i="33"/>
  <c r="D47" i="33"/>
  <c r="L47" i="33" s="1"/>
  <c r="B47" i="33"/>
  <c r="X46" i="33"/>
  <c r="Z46" i="33" s="1"/>
  <c r="L46" i="33"/>
  <c r="N46" i="33" s="1"/>
  <c r="B46" i="33"/>
  <c r="T45" i="33"/>
  <c r="P45" i="33"/>
  <c r="X45" i="33" s="1"/>
  <c r="Z45" i="33" s="1"/>
  <c r="H45" i="33"/>
  <c r="D45" i="33"/>
  <c r="L45" i="33" s="1"/>
  <c r="N45" i="33" s="1"/>
  <c r="B45" i="33"/>
  <c r="X44" i="33"/>
  <c r="Z44" i="33" s="1"/>
  <c r="L44" i="33"/>
  <c r="N44" i="33" s="1"/>
  <c r="B44" i="33"/>
  <c r="Z43" i="33"/>
  <c r="X43" i="33"/>
  <c r="N43" i="33"/>
  <c r="L43" i="33"/>
  <c r="B43" i="33"/>
  <c r="X42" i="33"/>
  <c r="Z42" i="33" s="1"/>
  <c r="L42" i="33"/>
  <c r="N42" i="33" s="1"/>
  <c r="B42" i="33"/>
  <c r="T41" i="33"/>
  <c r="P41" i="33"/>
  <c r="X41" i="33" s="1"/>
  <c r="Z41" i="33" s="1"/>
  <c r="H41" i="33"/>
  <c r="D41" i="33"/>
  <c r="L41" i="33" s="1"/>
  <c r="N41" i="33" s="1"/>
  <c r="B41" i="33"/>
  <c r="X40" i="33"/>
  <c r="Z40" i="33" s="1"/>
  <c r="L40" i="33"/>
  <c r="N40" i="33" s="1"/>
  <c r="B40" i="33"/>
  <c r="Z39" i="33"/>
  <c r="X39" i="33"/>
  <c r="L39" i="33"/>
  <c r="N39" i="33" s="1"/>
  <c r="B39" i="33"/>
  <c r="X38" i="33"/>
  <c r="Z38" i="33" s="1"/>
  <c r="L38" i="33"/>
  <c r="N38" i="33" s="1"/>
  <c r="B38" i="33"/>
  <c r="Z37" i="33"/>
  <c r="X37" i="33"/>
  <c r="N37" i="33"/>
  <c r="L37" i="33"/>
  <c r="B37" i="33"/>
  <c r="X36" i="33"/>
  <c r="Z36" i="33" s="1"/>
  <c r="L36" i="33"/>
  <c r="N36" i="33" s="1"/>
  <c r="B36" i="33"/>
  <c r="X35" i="33"/>
  <c r="Z35" i="33" s="1"/>
  <c r="N35" i="33"/>
  <c r="L35" i="33"/>
  <c r="B35" i="33"/>
  <c r="X34" i="33"/>
  <c r="Z34" i="33" s="1"/>
  <c r="L34" i="33"/>
  <c r="N34" i="33" s="1"/>
  <c r="B34" i="33"/>
  <c r="Z33" i="33"/>
  <c r="X33" i="33"/>
  <c r="N33" i="33"/>
  <c r="L33" i="33"/>
  <c r="B33" i="33"/>
  <c r="T32" i="33"/>
  <c r="P32" i="33"/>
  <c r="L32" i="33"/>
  <c r="N32" i="33" s="1"/>
  <c r="H32" i="33"/>
  <c r="D32" i="33"/>
  <c r="B32" i="33"/>
  <c r="X31" i="33"/>
  <c r="T31" i="33"/>
  <c r="P31" i="33"/>
  <c r="N31" i="33"/>
  <c r="H31" i="33"/>
  <c r="D31" i="33"/>
  <c r="L31" i="33" s="1"/>
  <c r="Z27" i="33"/>
  <c r="X27" i="33"/>
  <c r="N27" i="33"/>
  <c r="L27" i="33"/>
  <c r="B27" i="33"/>
  <c r="Z26" i="33"/>
  <c r="X26" i="33"/>
  <c r="N26" i="33"/>
  <c r="L26" i="33"/>
  <c r="B26" i="33"/>
  <c r="Z25" i="33"/>
  <c r="T25" i="33"/>
  <c r="X25" i="33" s="1"/>
  <c r="P25" i="33"/>
  <c r="L25" i="33"/>
  <c r="H25" i="33"/>
  <c r="N25" i="33" s="1"/>
  <c r="D25" i="33"/>
  <c r="Z23" i="33"/>
  <c r="T23" i="33"/>
  <c r="P23" i="33"/>
  <c r="X23" i="33" s="1"/>
  <c r="N23" i="33"/>
  <c r="H23" i="33"/>
  <c r="D23" i="33"/>
  <c r="L23" i="33" s="1"/>
  <c r="B23" i="33"/>
  <c r="T22" i="33"/>
  <c r="Z22" i="33" s="1"/>
  <c r="P22" i="33"/>
  <c r="X22" i="33" s="1"/>
  <c r="H22" i="33"/>
  <c r="N22" i="33" s="1"/>
  <c r="D22" i="33"/>
  <c r="L22" i="33" s="1"/>
  <c r="B22" i="33"/>
  <c r="X21" i="33"/>
  <c r="T21" i="33"/>
  <c r="P21" i="33"/>
  <c r="H21" i="33"/>
  <c r="D21" i="33"/>
  <c r="B21" i="33"/>
  <c r="X20" i="33"/>
  <c r="Z20" i="33" s="1"/>
  <c r="T20" i="33"/>
  <c r="P20" i="33"/>
  <c r="L20" i="33"/>
  <c r="N20" i="33" s="1"/>
  <c r="H20" i="33"/>
  <c r="D20" i="33"/>
  <c r="B20" i="33"/>
  <c r="T19" i="33"/>
  <c r="P19" i="33"/>
  <c r="X19" i="33" s="1"/>
  <c r="Z19" i="33" s="1"/>
  <c r="N19" i="33"/>
  <c r="H19" i="33"/>
  <c r="D19" i="33"/>
  <c r="L19" i="33" s="1"/>
  <c r="B19" i="33"/>
  <c r="T18" i="33"/>
  <c r="Z18" i="33" s="1"/>
  <c r="P18" i="33"/>
  <c r="X18" i="33" s="1"/>
  <c r="H18" i="33"/>
  <c r="N18" i="33" s="1"/>
  <c r="D18" i="33"/>
  <c r="L18" i="33" s="1"/>
  <c r="B18" i="33"/>
  <c r="T17" i="33"/>
  <c r="P17" i="33"/>
  <c r="L17" i="33"/>
  <c r="H17" i="33"/>
  <c r="N17" i="33" s="1"/>
  <c r="D17" i="33"/>
  <c r="B17" i="33"/>
  <c r="X16" i="33"/>
  <c r="Z16" i="33" s="1"/>
  <c r="T16" i="33"/>
  <c r="P16" i="33"/>
  <c r="L16" i="33"/>
  <c r="N16" i="33" s="1"/>
  <c r="H16" i="33"/>
  <c r="D16" i="33"/>
  <c r="B16" i="33"/>
  <c r="Z15" i="33"/>
  <c r="T15" i="33"/>
  <c r="P15" i="33"/>
  <c r="X15" i="33" s="1"/>
  <c r="H15" i="33"/>
  <c r="D15" i="33"/>
  <c r="B15" i="33"/>
  <c r="T14" i="33"/>
  <c r="P14" i="33"/>
  <c r="H14" i="33"/>
  <c r="D14" i="33"/>
  <c r="B14" i="33"/>
  <c r="T13" i="33"/>
  <c r="P13" i="33"/>
  <c r="N13" i="33"/>
  <c r="H13" i="33"/>
  <c r="D13" i="33"/>
  <c r="B13" i="33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D33" i="32"/>
  <c r="T29" i="32"/>
  <c r="Z29" i="32" s="1"/>
  <c r="P29" i="32"/>
  <c r="H29" i="32"/>
  <c r="N29" i="32" s="1"/>
  <c r="D29" i="32"/>
  <c r="T25" i="32"/>
  <c r="Z25" i="32" s="1"/>
  <c r="P25" i="32"/>
  <c r="H25" i="32"/>
  <c r="D25" i="32"/>
  <c r="B25" i="32"/>
  <c r="T24" i="32"/>
  <c r="Z24" i="32" s="1"/>
  <c r="P24" i="32"/>
  <c r="H24" i="32"/>
  <c r="N24" i="32" s="1"/>
  <c r="D24" i="32"/>
  <c r="T22" i="32"/>
  <c r="Z22" i="32" s="1"/>
  <c r="P22" i="32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Z20" i="32" s="1"/>
  <c r="P20" i="32"/>
  <c r="H20" i="32"/>
  <c r="N20" i="32" s="1"/>
  <c r="D20" i="32"/>
  <c r="T16" i="32"/>
  <c r="P16" i="32"/>
  <c r="H16" i="32"/>
  <c r="N16" i="32" s="1"/>
  <c r="D16" i="32"/>
  <c r="B16" i="32"/>
  <c r="T15" i="32"/>
  <c r="Z15" i="32" s="1"/>
  <c r="P15" i="32"/>
  <c r="H15" i="32"/>
  <c r="N15" i="32" s="1"/>
  <c r="D15" i="32"/>
  <c r="T13" i="32"/>
  <c r="P13" i="32"/>
  <c r="H13" i="32"/>
  <c r="N13" i="32" s="1"/>
  <c r="D13" i="32"/>
  <c r="B13" i="32"/>
  <c r="T12" i="32"/>
  <c r="P12" i="32"/>
  <c r="R34" i="32" s="1"/>
  <c r="H12" i="32"/>
  <c r="J29" i="32" s="1"/>
  <c r="D12" i="32"/>
  <c r="F20" i="32" s="1"/>
  <c r="D5" i="32"/>
  <c r="D4" i="32"/>
  <c r="B39" i="31"/>
  <c r="B38" i="31"/>
  <c r="T34" i="31"/>
  <c r="Z34" i="31" s="1"/>
  <c r="P34" i="31"/>
  <c r="H34" i="31"/>
  <c r="D34" i="31"/>
  <c r="T33" i="31"/>
  <c r="Z33" i="31" s="1"/>
  <c r="P33" i="31"/>
  <c r="H33" i="31"/>
  <c r="N33" i="31" s="1"/>
  <c r="D33" i="31"/>
  <c r="T29" i="31"/>
  <c r="Z29" i="31" s="1"/>
  <c r="P29" i="31"/>
  <c r="H29" i="31"/>
  <c r="N29" i="31" s="1"/>
  <c r="D29" i="31"/>
  <c r="T25" i="31"/>
  <c r="Z25" i="31" s="1"/>
  <c r="P25" i="31"/>
  <c r="H25" i="31"/>
  <c r="N25" i="31" s="1"/>
  <c r="D25" i="31"/>
  <c r="B25" i="31"/>
  <c r="T24" i="31"/>
  <c r="Z24" i="31" s="1"/>
  <c r="P24" i="31"/>
  <c r="H24" i="31"/>
  <c r="N24" i="31" s="1"/>
  <c r="D24" i="31"/>
  <c r="T22" i="31"/>
  <c r="P22" i="31"/>
  <c r="H22" i="31"/>
  <c r="N22" i="31" s="1"/>
  <c r="D22" i="31"/>
  <c r="B22" i="31"/>
  <c r="T21" i="31"/>
  <c r="Z21" i="31" s="1"/>
  <c r="P21" i="31"/>
  <c r="H21" i="31"/>
  <c r="N21" i="31" s="1"/>
  <c r="D21" i="31"/>
  <c r="B21" i="31"/>
  <c r="T20" i="31"/>
  <c r="Z20" i="31" s="1"/>
  <c r="P20" i="31"/>
  <c r="H20" i="31"/>
  <c r="D20" i="31"/>
  <c r="T16" i="31"/>
  <c r="Z16" i="31" s="1"/>
  <c r="P16" i="31"/>
  <c r="H16" i="31"/>
  <c r="D16" i="31"/>
  <c r="B16" i="31"/>
  <c r="T15" i="31"/>
  <c r="Z15" i="31" s="1"/>
  <c r="P15" i="31"/>
  <c r="H15" i="31"/>
  <c r="N15" i="31" s="1"/>
  <c r="D15" i="31"/>
  <c r="T13" i="31"/>
  <c r="Z13" i="31" s="1"/>
  <c r="P13" i="31"/>
  <c r="H13" i="31"/>
  <c r="N13" i="31" s="1"/>
  <c r="D13" i="31"/>
  <c r="B13" i="31"/>
  <c r="T12" i="31"/>
  <c r="V34" i="31" s="1"/>
  <c r="P12" i="31"/>
  <c r="R29" i="31" s="1"/>
  <c r="H12" i="31"/>
  <c r="J21" i="31" s="1"/>
  <c r="D12" i="31"/>
  <c r="D5" i="31"/>
  <c r="D4" i="31"/>
  <c r="X143" i="30"/>
  <c r="Z143" i="30" s="1"/>
  <c r="L143" i="30"/>
  <c r="N143" i="30" s="1"/>
  <c r="X139" i="30"/>
  <c r="Z139" i="30" s="1"/>
  <c r="T139" i="30"/>
  <c r="P139" i="30"/>
  <c r="H139" i="30"/>
  <c r="D139" i="30"/>
  <c r="B139" i="30"/>
  <c r="T138" i="30"/>
  <c r="P138" i="30"/>
  <c r="H138" i="30"/>
  <c r="N138" i="30" s="1"/>
  <c r="D138" i="30"/>
  <c r="L138" i="30" s="1"/>
  <c r="B138" i="30"/>
  <c r="Z135" i="30"/>
  <c r="X135" i="30"/>
  <c r="N135" i="30"/>
  <c r="L135" i="30"/>
  <c r="B135" i="30"/>
  <c r="T134" i="30"/>
  <c r="P134" i="30"/>
  <c r="H134" i="30"/>
  <c r="N134" i="30" s="1"/>
  <c r="D134" i="30"/>
  <c r="L134" i="30" s="1"/>
  <c r="B134" i="30"/>
  <c r="X133" i="30"/>
  <c r="Z133" i="30" s="1"/>
  <c r="N133" i="30"/>
  <c r="L133" i="30"/>
  <c r="B133" i="30"/>
  <c r="T132" i="30"/>
  <c r="Z132" i="30" s="1"/>
  <c r="P132" i="30"/>
  <c r="X132" i="30" s="1"/>
  <c r="H132" i="30"/>
  <c r="N132" i="30" s="1"/>
  <c r="D132" i="30"/>
  <c r="L132" i="30" s="1"/>
  <c r="B132" i="30"/>
  <c r="Z131" i="30"/>
  <c r="X131" i="30"/>
  <c r="N131" i="30"/>
  <c r="L131" i="30"/>
  <c r="B131" i="30"/>
  <c r="T130" i="30"/>
  <c r="Z130" i="30" s="1"/>
  <c r="P130" i="30"/>
  <c r="X130" i="30" s="1"/>
  <c r="L130" i="30"/>
  <c r="N130" i="30" s="1"/>
  <c r="H130" i="30"/>
  <c r="D130" i="30"/>
  <c r="B130" i="30"/>
  <c r="Z129" i="30"/>
  <c r="X129" i="30"/>
  <c r="N129" i="30"/>
  <c r="L129" i="30"/>
  <c r="B129" i="30"/>
  <c r="X128" i="30"/>
  <c r="Z128" i="30" s="1"/>
  <c r="L128" i="30"/>
  <c r="N128" i="30" s="1"/>
  <c r="B128" i="30"/>
  <c r="Z127" i="30"/>
  <c r="X127" i="30"/>
  <c r="N127" i="30"/>
  <c r="L127" i="30"/>
  <c r="B127" i="30"/>
  <c r="X126" i="30"/>
  <c r="Z126" i="30" s="1"/>
  <c r="L126" i="30"/>
  <c r="N126" i="30" s="1"/>
  <c r="B126" i="30"/>
  <c r="T125" i="30"/>
  <c r="Z125" i="30" s="1"/>
  <c r="P125" i="30"/>
  <c r="X125" i="30" s="1"/>
  <c r="H125" i="30"/>
  <c r="D125" i="30"/>
  <c r="L125" i="30" s="1"/>
  <c r="N125" i="30" s="1"/>
  <c r="B125" i="30"/>
  <c r="X124" i="30"/>
  <c r="Z124" i="30" s="1"/>
  <c r="L124" i="30"/>
  <c r="N124" i="30" s="1"/>
  <c r="B124" i="30"/>
  <c r="T123" i="30"/>
  <c r="P123" i="30"/>
  <c r="X123" i="30" s="1"/>
  <c r="Z123" i="30" s="1"/>
  <c r="L123" i="30"/>
  <c r="N123" i="30" s="1"/>
  <c r="H123" i="30"/>
  <c r="D123" i="30"/>
  <c r="B123" i="30"/>
  <c r="X122" i="30"/>
  <c r="Z122" i="30" s="1"/>
  <c r="N122" i="30"/>
  <c r="L122" i="30"/>
  <c r="B122" i="30"/>
  <c r="X121" i="30"/>
  <c r="Z121" i="30" s="1"/>
  <c r="L121" i="30"/>
  <c r="N121" i="30" s="1"/>
  <c r="B121" i="30"/>
  <c r="Z120" i="30"/>
  <c r="X120" i="30"/>
  <c r="T120" i="30"/>
  <c r="P120" i="30"/>
  <c r="H120" i="30"/>
  <c r="D120" i="30"/>
  <c r="B120" i="30"/>
  <c r="Z119" i="30"/>
  <c r="X119" i="30"/>
  <c r="N119" i="30"/>
  <c r="L119" i="30"/>
  <c r="B119" i="30"/>
  <c r="X118" i="30"/>
  <c r="Z118" i="30" s="1"/>
  <c r="N118" i="30"/>
  <c r="L118" i="30"/>
  <c r="B118" i="30"/>
  <c r="X117" i="30"/>
  <c r="Z117" i="30" s="1"/>
  <c r="T117" i="30"/>
  <c r="P117" i="30"/>
  <c r="H117" i="30"/>
  <c r="D117" i="30"/>
  <c r="B117" i="30"/>
  <c r="Z116" i="30"/>
  <c r="X116" i="30"/>
  <c r="N116" i="30"/>
  <c r="L116" i="30"/>
  <c r="B116" i="30"/>
  <c r="Z115" i="30"/>
  <c r="X115" i="30"/>
  <c r="N115" i="30"/>
  <c r="L115" i="30"/>
  <c r="B115" i="30"/>
  <c r="T114" i="30"/>
  <c r="P114" i="30"/>
  <c r="H114" i="30"/>
  <c r="D114" i="30"/>
  <c r="L114" i="30" s="1"/>
  <c r="B114" i="30"/>
  <c r="X113" i="30"/>
  <c r="Z113" i="30" s="1"/>
  <c r="L113" i="30"/>
  <c r="N113" i="30" s="1"/>
  <c r="B113" i="30"/>
  <c r="T112" i="30"/>
  <c r="P112" i="30"/>
  <c r="X112" i="30" s="1"/>
  <c r="H112" i="30"/>
  <c r="D112" i="30"/>
  <c r="L112" i="30" s="1"/>
  <c r="B112" i="30"/>
  <c r="Z111" i="30"/>
  <c r="X111" i="30"/>
  <c r="N111" i="30"/>
  <c r="L111" i="30"/>
  <c r="B111" i="30"/>
  <c r="Z110" i="30"/>
  <c r="X110" i="30"/>
  <c r="L110" i="30"/>
  <c r="N110" i="30" s="1"/>
  <c r="B110" i="30"/>
  <c r="T109" i="30"/>
  <c r="Z109" i="30" s="1"/>
  <c r="P109" i="30"/>
  <c r="X109" i="30" s="1"/>
  <c r="N109" i="30"/>
  <c r="L109" i="30"/>
  <c r="H109" i="30"/>
  <c r="D109" i="30"/>
  <c r="B109" i="30"/>
  <c r="X108" i="30"/>
  <c r="Z108" i="30" s="1"/>
  <c r="L108" i="30"/>
  <c r="N108" i="30" s="1"/>
  <c r="B108" i="30"/>
  <c r="Z107" i="30"/>
  <c r="X107" i="30"/>
  <c r="T107" i="30"/>
  <c r="P107" i="30"/>
  <c r="L107" i="30"/>
  <c r="N107" i="30" s="1"/>
  <c r="H107" i="30"/>
  <c r="D107" i="30"/>
  <c r="B107" i="30"/>
  <c r="Z106" i="30"/>
  <c r="X106" i="30"/>
  <c r="N106" i="30"/>
  <c r="L106" i="30"/>
  <c r="B106" i="30"/>
  <c r="X105" i="30"/>
  <c r="Z105" i="30" s="1"/>
  <c r="L105" i="30"/>
  <c r="N105" i="30" s="1"/>
  <c r="B105" i="30"/>
  <c r="X104" i="30"/>
  <c r="Z104" i="30" s="1"/>
  <c r="T104" i="30"/>
  <c r="P104" i="30"/>
  <c r="H104" i="30"/>
  <c r="D104" i="30"/>
  <c r="B104" i="30"/>
  <c r="Z103" i="30"/>
  <c r="X103" i="30"/>
  <c r="N103" i="30"/>
  <c r="L103" i="30"/>
  <c r="B103" i="30"/>
  <c r="T102" i="30"/>
  <c r="P102" i="30"/>
  <c r="H102" i="30"/>
  <c r="N102" i="30" s="1"/>
  <c r="D102" i="30"/>
  <c r="L102" i="30" s="1"/>
  <c r="B102" i="30"/>
  <c r="Z101" i="30"/>
  <c r="X101" i="30"/>
  <c r="N101" i="30"/>
  <c r="L101" i="30"/>
  <c r="B101" i="30"/>
  <c r="X100" i="30"/>
  <c r="Z100" i="30" s="1"/>
  <c r="L100" i="30"/>
  <c r="N100" i="30" s="1"/>
  <c r="B100" i="30"/>
  <c r="T99" i="30"/>
  <c r="P99" i="30"/>
  <c r="X99" i="30" s="1"/>
  <c r="H99" i="30"/>
  <c r="D99" i="30"/>
  <c r="L99" i="30" s="1"/>
  <c r="B99" i="30"/>
  <c r="X98" i="30"/>
  <c r="Z98" i="30" s="1"/>
  <c r="L98" i="30"/>
  <c r="N98" i="30" s="1"/>
  <c r="B98" i="30"/>
  <c r="T97" i="30"/>
  <c r="P97" i="30"/>
  <c r="X97" i="30" s="1"/>
  <c r="N97" i="30"/>
  <c r="L97" i="30"/>
  <c r="H97" i="30"/>
  <c r="D97" i="30"/>
  <c r="B97" i="30"/>
  <c r="Z96" i="30"/>
  <c r="X96" i="30"/>
  <c r="L96" i="30"/>
  <c r="N96" i="30" s="1"/>
  <c r="B96" i="30"/>
  <c r="Z95" i="30"/>
  <c r="T95" i="30"/>
  <c r="X95" i="30" s="1"/>
  <c r="P95" i="30"/>
  <c r="L95" i="30"/>
  <c r="N95" i="30" s="1"/>
  <c r="H95" i="30"/>
  <c r="D95" i="30"/>
  <c r="B95" i="30"/>
  <c r="X94" i="30"/>
  <c r="Z94" i="30" s="1"/>
  <c r="N94" i="30"/>
  <c r="L94" i="30"/>
  <c r="B94" i="30"/>
  <c r="X93" i="30"/>
  <c r="Z93" i="30" s="1"/>
  <c r="T93" i="30"/>
  <c r="P93" i="30"/>
  <c r="H93" i="30"/>
  <c r="D93" i="30"/>
  <c r="L93" i="30" s="1"/>
  <c r="B93" i="30"/>
  <c r="X92" i="30"/>
  <c r="Z92" i="30" s="1"/>
  <c r="L92" i="30"/>
  <c r="N92" i="30" s="1"/>
  <c r="B92" i="30"/>
  <c r="Z91" i="30"/>
  <c r="X91" i="30"/>
  <c r="N91" i="30"/>
  <c r="L91" i="30"/>
  <c r="B91" i="30"/>
  <c r="X90" i="30"/>
  <c r="Z90" i="30" s="1"/>
  <c r="N90" i="30"/>
  <c r="L90" i="30"/>
  <c r="B90" i="30"/>
  <c r="X89" i="30"/>
  <c r="Z89" i="30" s="1"/>
  <c r="L89" i="30"/>
  <c r="N89" i="30" s="1"/>
  <c r="B89" i="30"/>
  <c r="X88" i="30"/>
  <c r="Z88" i="30" s="1"/>
  <c r="L88" i="30"/>
  <c r="N88" i="30" s="1"/>
  <c r="B88" i="30"/>
  <c r="T87" i="30"/>
  <c r="P87" i="30"/>
  <c r="X87" i="30" s="1"/>
  <c r="Z87" i="30" s="1"/>
  <c r="L87" i="30"/>
  <c r="N87" i="30" s="1"/>
  <c r="H87" i="30"/>
  <c r="D87" i="30"/>
  <c r="B87" i="30"/>
  <c r="X86" i="30"/>
  <c r="Z86" i="30" s="1"/>
  <c r="N86" i="30"/>
  <c r="L86" i="30"/>
  <c r="B86" i="30"/>
  <c r="X85" i="30"/>
  <c r="Z85" i="30" s="1"/>
  <c r="L85" i="30"/>
  <c r="N85" i="30" s="1"/>
  <c r="B85" i="30"/>
  <c r="Z84" i="30"/>
  <c r="X84" i="30"/>
  <c r="L84" i="30"/>
  <c r="N84" i="30" s="1"/>
  <c r="B84" i="30"/>
  <c r="Z83" i="30"/>
  <c r="X83" i="30"/>
  <c r="N83" i="30"/>
  <c r="L83" i="30"/>
  <c r="B83" i="30"/>
  <c r="Z82" i="30"/>
  <c r="X82" i="30"/>
  <c r="L82" i="30"/>
  <c r="N82" i="30" s="1"/>
  <c r="B82" i="30"/>
  <c r="X81" i="30"/>
  <c r="Z81" i="30" s="1"/>
  <c r="L81" i="30"/>
  <c r="N81" i="30" s="1"/>
  <c r="B81" i="30"/>
  <c r="X80" i="30"/>
  <c r="Z80" i="30" s="1"/>
  <c r="L80" i="30"/>
  <c r="N80" i="30" s="1"/>
  <c r="B80" i="30"/>
  <c r="Z79" i="30"/>
  <c r="X79" i="30"/>
  <c r="N79" i="30"/>
  <c r="L79" i="30"/>
  <c r="B79" i="30"/>
  <c r="T78" i="30"/>
  <c r="P78" i="30"/>
  <c r="H78" i="30"/>
  <c r="D78" i="30"/>
  <c r="L78" i="30" s="1"/>
  <c r="B78" i="30"/>
  <c r="T77" i="30"/>
  <c r="P77" i="30"/>
  <c r="X77" i="30" s="1"/>
  <c r="N77" i="30"/>
  <c r="H77" i="30"/>
  <c r="D77" i="30"/>
  <c r="L77" i="30" s="1"/>
  <c r="X73" i="30"/>
  <c r="Z73" i="30" s="1"/>
  <c r="L73" i="30"/>
  <c r="N73" i="30" s="1"/>
  <c r="B73" i="30"/>
  <c r="Z72" i="30"/>
  <c r="X72" i="30"/>
  <c r="N72" i="30"/>
  <c r="L72" i="30"/>
  <c r="B72" i="30"/>
  <c r="X71" i="30"/>
  <c r="Z71" i="30" s="1"/>
  <c r="N71" i="30"/>
  <c r="L71" i="30"/>
  <c r="B71" i="30"/>
  <c r="Z70" i="30"/>
  <c r="X70" i="30"/>
  <c r="L70" i="30"/>
  <c r="N70" i="30" s="1"/>
  <c r="B70" i="30"/>
  <c r="X69" i="30"/>
  <c r="Z69" i="30" s="1"/>
  <c r="L69" i="30"/>
  <c r="N69" i="30" s="1"/>
  <c r="B69" i="30"/>
  <c r="X68" i="30"/>
  <c r="Z68" i="30" s="1"/>
  <c r="N68" i="30"/>
  <c r="L68" i="30"/>
  <c r="B68" i="30"/>
  <c r="Z67" i="30"/>
  <c r="X67" i="30"/>
  <c r="N67" i="30"/>
  <c r="L67" i="30"/>
  <c r="B67" i="30"/>
  <c r="Z66" i="30"/>
  <c r="X66" i="30"/>
  <c r="N66" i="30"/>
  <c r="L66" i="30"/>
  <c r="B66" i="30"/>
  <c r="X65" i="30"/>
  <c r="Z65" i="30" s="1"/>
  <c r="L65" i="30"/>
  <c r="N65" i="30" s="1"/>
  <c r="B65" i="30"/>
  <c r="Z64" i="30"/>
  <c r="X64" i="30"/>
  <c r="L64" i="30"/>
  <c r="N64" i="30" s="1"/>
  <c r="B64" i="30"/>
  <c r="X63" i="30"/>
  <c r="Z63" i="30" s="1"/>
  <c r="N63" i="30"/>
  <c r="L63" i="30"/>
  <c r="B63" i="30"/>
  <c r="Z62" i="30"/>
  <c r="X62" i="30"/>
  <c r="N62" i="30"/>
  <c r="L62" i="30"/>
  <c r="B62" i="30"/>
  <c r="X61" i="30"/>
  <c r="Z61" i="30" s="1"/>
  <c r="L61" i="30"/>
  <c r="N61" i="30" s="1"/>
  <c r="B61" i="30"/>
  <c r="Z60" i="30"/>
  <c r="X60" i="30"/>
  <c r="N60" i="30"/>
  <c r="L60" i="30"/>
  <c r="B60" i="30"/>
  <c r="Z59" i="30"/>
  <c r="X59" i="30"/>
  <c r="L59" i="30"/>
  <c r="N59" i="30" s="1"/>
  <c r="B59" i="30"/>
  <c r="X58" i="30"/>
  <c r="Z58" i="30" s="1"/>
  <c r="N58" i="30"/>
  <c r="L58" i="30"/>
  <c r="B58" i="30"/>
  <c r="X57" i="30"/>
  <c r="Z57" i="30" s="1"/>
  <c r="L57" i="30"/>
  <c r="N57" i="30" s="1"/>
  <c r="B57" i="30"/>
  <c r="Z56" i="30"/>
  <c r="X56" i="30"/>
  <c r="L56" i="30"/>
  <c r="N56" i="30" s="1"/>
  <c r="B56" i="30"/>
  <c r="X55" i="30"/>
  <c r="Z55" i="30" s="1"/>
  <c r="N55" i="30"/>
  <c r="L55" i="30"/>
  <c r="B55" i="30"/>
  <c r="Z54" i="30"/>
  <c r="X54" i="30"/>
  <c r="N54" i="30"/>
  <c r="L54" i="30"/>
  <c r="B54" i="30"/>
  <c r="X53" i="30"/>
  <c r="Z53" i="30" s="1"/>
  <c r="T53" i="30"/>
  <c r="P53" i="30"/>
  <c r="H53" i="30"/>
  <c r="D53" i="30"/>
  <c r="T51" i="30"/>
  <c r="P51" i="30"/>
  <c r="X51" i="30" s="1"/>
  <c r="H51" i="30"/>
  <c r="D51" i="30"/>
  <c r="B51" i="30"/>
  <c r="T50" i="30"/>
  <c r="P50" i="30"/>
  <c r="L50" i="30"/>
  <c r="N50" i="30" s="1"/>
  <c r="H50" i="30"/>
  <c r="D50" i="30"/>
  <c r="B50" i="30"/>
  <c r="T49" i="30"/>
  <c r="P49" i="30"/>
  <c r="X49" i="30" s="1"/>
  <c r="Z49" i="30" s="1"/>
  <c r="N49" i="30"/>
  <c r="H49" i="30"/>
  <c r="D49" i="30"/>
  <c r="L49" i="30" s="1"/>
  <c r="B49" i="30"/>
  <c r="T48" i="30"/>
  <c r="Z48" i="30" s="1"/>
  <c r="P48" i="30"/>
  <c r="H48" i="30"/>
  <c r="N48" i="30" s="1"/>
  <c r="D48" i="30"/>
  <c r="L48" i="30" s="1"/>
  <c r="B48" i="30"/>
  <c r="T47" i="30"/>
  <c r="P47" i="30"/>
  <c r="H47" i="30"/>
  <c r="N47" i="30" s="1"/>
  <c r="D47" i="30"/>
  <c r="L47" i="30" s="1"/>
  <c r="B47" i="30"/>
  <c r="Z46" i="30"/>
  <c r="X46" i="30"/>
  <c r="T46" i="30"/>
  <c r="P46" i="30"/>
  <c r="H46" i="30"/>
  <c r="D46" i="30"/>
  <c r="B46" i="30"/>
  <c r="T45" i="30"/>
  <c r="P45" i="30"/>
  <c r="X45" i="30" s="1"/>
  <c r="Z45" i="30" s="1"/>
  <c r="H45" i="30"/>
  <c r="D45" i="30"/>
  <c r="L45" i="30" s="1"/>
  <c r="N45" i="30" s="1"/>
  <c r="B45" i="30"/>
  <c r="T44" i="30"/>
  <c r="Z44" i="30" s="1"/>
  <c r="P44" i="30"/>
  <c r="X44" i="30" s="1"/>
  <c r="H44" i="30"/>
  <c r="D44" i="30"/>
  <c r="L44" i="30" s="1"/>
  <c r="B44" i="30"/>
  <c r="T43" i="30"/>
  <c r="P43" i="30"/>
  <c r="X43" i="30" s="1"/>
  <c r="H43" i="30"/>
  <c r="D43" i="30"/>
  <c r="B43" i="30"/>
  <c r="T42" i="30"/>
  <c r="P42" i="30"/>
  <c r="L42" i="30"/>
  <c r="N42" i="30" s="1"/>
  <c r="H42" i="30"/>
  <c r="D42" i="30"/>
  <c r="B42" i="30"/>
  <c r="T41" i="30"/>
  <c r="P41" i="30"/>
  <c r="X41" i="30" s="1"/>
  <c r="Z41" i="30" s="1"/>
  <c r="N41" i="30"/>
  <c r="H41" i="30"/>
  <c r="D41" i="30"/>
  <c r="L41" i="30" s="1"/>
  <c r="B41" i="30"/>
  <c r="T40" i="30"/>
  <c r="P40" i="30"/>
  <c r="H40" i="30"/>
  <c r="D40" i="30"/>
  <c r="L40" i="30" s="1"/>
  <c r="B40" i="30"/>
  <c r="T39" i="30"/>
  <c r="Z39" i="30" s="1"/>
  <c r="P39" i="30"/>
  <c r="H39" i="30"/>
  <c r="N39" i="30" s="1"/>
  <c r="D39" i="30"/>
  <c r="L39" i="30" s="1"/>
  <c r="B39" i="30"/>
  <c r="Z38" i="30"/>
  <c r="X38" i="30"/>
  <c r="T38" i="30"/>
  <c r="P38" i="30"/>
  <c r="H38" i="30"/>
  <c r="N38" i="30" s="1"/>
  <c r="D38" i="30"/>
  <c r="B38" i="30"/>
  <c r="T37" i="30"/>
  <c r="P37" i="30"/>
  <c r="X37" i="30" s="1"/>
  <c r="Z37" i="30" s="1"/>
  <c r="H37" i="30"/>
  <c r="D37" i="30"/>
  <c r="L37" i="30" s="1"/>
  <c r="N37" i="30" s="1"/>
  <c r="B37" i="30"/>
  <c r="T36" i="30"/>
  <c r="Z36" i="30" s="1"/>
  <c r="P36" i="30"/>
  <c r="X36" i="30" s="1"/>
  <c r="H36" i="30"/>
  <c r="N36" i="30" s="1"/>
  <c r="D36" i="30"/>
  <c r="L36" i="30" s="1"/>
  <c r="B36" i="30"/>
  <c r="T35" i="30"/>
  <c r="P35" i="30"/>
  <c r="X35" i="30" s="1"/>
  <c r="H35" i="30"/>
  <c r="D35" i="30"/>
  <c r="B35" i="30"/>
  <c r="T34" i="30"/>
  <c r="P34" i="30"/>
  <c r="L34" i="30"/>
  <c r="N34" i="30" s="1"/>
  <c r="H34" i="30"/>
  <c r="D34" i="30"/>
  <c r="B34" i="30"/>
  <c r="T33" i="30"/>
  <c r="P33" i="30"/>
  <c r="X33" i="30" s="1"/>
  <c r="Z33" i="30" s="1"/>
  <c r="N33" i="30"/>
  <c r="H33" i="30"/>
  <c r="D33" i="30"/>
  <c r="L33" i="30" s="1"/>
  <c r="B33" i="30"/>
  <c r="T32" i="30"/>
  <c r="P32" i="30"/>
  <c r="H32" i="30"/>
  <c r="N32" i="30" s="1"/>
  <c r="D32" i="30"/>
  <c r="L32" i="30" s="1"/>
  <c r="B32" i="30"/>
  <c r="T31" i="30"/>
  <c r="P31" i="30"/>
  <c r="H31" i="30"/>
  <c r="N31" i="30" s="1"/>
  <c r="D31" i="30"/>
  <c r="L31" i="30" s="1"/>
  <c r="B31" i="30"/>
  <c r="Z30" i="30"/>
  <c r="X30" i="30"/>
  <c r="T30" i="30"/>
  <c r="P30" i="30"/>
  <c r="H30" i="30"/>
  <c r="N30" i="30" s="1"/>
  <c r="D30" i="30"/>
  <c r="B30" i="30"/>
  <c r="T29" i="30"/>
  <c r="P29" i="30"/>
  <c r="X29" i="30" s="1"/>
  <c r="Z29" i="30" s="1"/>
  <c r="N29" i="30"/>
  <c r="H29" i="30"/>
  <c r="D29" i="30"/>
  <c r="L29" i="30" s="1"/>
  <c r="B29" i="30"/>
  <c r="T28" i="30"/>
  <c r="Z28" i="30" s="1"/>
  <c r="P28" i="30"/>
  <c r="X28" i="30" s="1"/>
  <c r="H28" i="30"/>
  <c r="D28" i="30"/>
  <c r="B28" i="30"/>
  <c r="T27" i="30"/>
  <c r="P27" i="30"/>
  <c r="X27" i="30" s="1"/>
  <c r="L27" i="30"/>
  <c r="H27" i="30"/>
  <c r="D27" i="30"/>
  <c r="B27" i="30"/>
  <c r="T26" i="30"/>
  <c r="P26" i="30"/>
  <c r="N26" i="30"/>
  <c r="L26" i="30"/>
  <c r="H26" i="30"/>
  <c r="D26" i="30"/>
  <c r="B26" i="30"/>
  <c r="Z25" i="30"/>
  <c r="T25" i="30"/>
  <c r="P25" i="30"/>
  <c r="X25" i="30" s="1"/>
  <c r="N25" i="30"/>
  <c r="H25" i="30"/>
  <c r="D25" i="30"/>
  <c r="L25" i="30" s="1"/>
  <c r="B25" i="30"/>
  <c r="T24" i="30"/>
  <c r="P24" i="30"/>
  <c r="X24" i="30" s="1"/>
  <c r="H24" i="30"/>
  <c r="N24" i="30" s="1"/>
  <c r="D24" i="30"/>
  <c r="L24" i="30" s="1"/>
  <c r="B24" i="30"/>
  <c r="T23" i="30"/>
  <c r="P23" i="30"/>
  <c r="H23" i="30"/>
  <c r="D23" i="30"/>
  <c r="L23" i="30" s="1"/>
  <c r="B23" i="30"/>
  <c r="X22" i="30"/>
  <c r="Z22" i="30" s="1"/>
  <c r="T22" i="30"/>
  <c r="P22" i="30"/>
  <c r="H22" i="30"/>
  <c r="D22" i="30"/>
  <c r="B22" i="30"/>
  <c r="Z21" i="30"/>
  <c r="T21" i="30"/>
  <c r="P21" i="30"/>
  <c r="X21" i="30" s="1"/>
  <c r="H21" i="30"/>
  <c r="D21" i="30"/>
  <c r="L21" i="30" s="1"/>
  <c r="N21" i="30" s="1"/>
  <c r="B21" i="30"/>
  <c r="T20" i="30"/>
  <c r="P20" i="30"/>
  <c r="X20" i="30" s="1"/>
  <c r="H20" i="30"/>
  <c r="D20" i="30"/>
  <c r="B20" i="30"/>
  <c r="T19" i="30"/>
  <c r="P19" i="30"/>
  <c r="X19" i="30" s="1"/>
  <c r="L19" i="30"/>
  <c r="H19" i="30"/>
  <c r="D19" i="30"/>
  <c r="B19" i="30"/>
  <c r="T18" i="30"/>
  <c r="P18" i="30"/>
  <c r="N18" i="30"/>
  <c r="L18" i="30"/>
  <c r="H18" i="30"/>
  <c r="D18" i="30"/>
  <c r="B18" i="30"/>
  <c r="T17" i="30"/>
  <c r="P17" i="30"/>
  <c r="X17" i="30" s="1"/>
  <c r="Z17" i="30" s="1"/>
  <c r="H17" i="30"/>
  <c r="D17" i="30"/>
  <c r="L17" i="30" s="1"/>
  <c r="N17" i="30" s="1"/>
  <c r="B17" i="30"/>
  <c r="T16" i="30"/>
  <c r="P16" i="30"/>
  <c r="X16" i="30" s="1"/>
  <c r="H16" i="30"/>
  <c r="N16" i="30" s="1"/>
  <c r="D16" i="30"/>
  <c r="L16" i="30" s="1"/>
  <c r="B16" i="30"/>
  <c r="T15" i="30"/>
  <c r="P15" i="30"/>
  <c r="H15" i="30"/>
  <c r="D15" i="30"/>
  <c r="L15" i="30" s="1"/>
  <c r="B15" i="30"/>
  <c r="X14" i="30"/>
  <c r="Z14" i="30" s="1"/>
  <c r="T14" i="30"/>
  <c r="P14" i="30"/>
  <c r="H14" i="30"/>
  <c r="D14" i="30"/>
  <c r="B14" i="30"/>
  <c r="Z13" i="30"/>
  <c r="T13" i="30"/>
  <c r="P13" i="30"/>
  <c r="X13" i="30" s="1"/>
  <c r="H13" i="30"/>
  <c r="D13" i="30"/>
  <c r="L13" i="30" s="1"/>
  <c r="N13" i="30" s="1"/>
  <c r="B13" i="30"/>
  <c r="D4" i="30"/>
  <c r="B39" i="29"/>
  <c r="B38" i="29"/>
  <c r="T34" i="29"/>
  <c r="Z34" i="29" s="1"/>
  <c r="P34" i="29"/>
  <c r="H34" i="29"/>
  <c r="N34" i="29" s="1"/>
  <c r="D34" i="29"/>
  <c r="T33" i="29"/>
  <c r="P33" i="29"/>
  <c r="H33" i="29"/>
  <c r="N33" i="29" s="1"/>
  <c r="D33" i="29"/>
  <c r="T29" i="29"/>
  <c r="P29" i="29"/>
  <c r="H29" i="29"/>
  <c r="N29" i="29" s="1"/>
  <c r="D29" i="29"/>
  <c r="T25" i="29"/>
  <c r="P25" i="29"/>
  <c r="H25" i="29"/>
  <c r="N25" i="29" s="1"/>
  <c r="D25" i="29"/>
  <c r="B25" i="29"/>
  <c r="T24" i="29"/>
  <c r="Z24" i="29" s="1"/>
  <c r="P24" i="29"/>
  <c r="H24" i="29"/>
  <c r="N24" i="29" s="1"/>
  <c r="D24" i="29"/>
  <c r="T22" i="29"/>
  <c r="P22" i="29"/>
  <c r="H22" i="29"/>
  <c r="N22" i="29" s="1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D20" i="29"/>
  <c r="T16" i="29"/>
  <c r="Z16" i="29" s="1"/>
  <c r="P16" i="29"/>
  <c r="H16" i="29"/>
  <c r="D16" i="29"/>
  <c r="B16" i="29"/>
  <c r="T15" i="29"/>
  <c r="P15" i="29"/>
  <c r="H15" i="29"/>
  <c r="N15" i="29" s="1"/>
  <c r="D15" i="29"/>
  <c r="T13" i="29"/>
  <c r="Z13" i="29" s="1"/>
  <c r="P13" i="29"/>
  <c r="H13" i="29"/>
  <c r="N13" i="29" s="1"/>
  <c r="D13" i="29"/>
  <c r="B13" i="29"/>
  <c r="T12" i="29"/>
  <c r="V20" i="29" s="1"/>
  <c r="P12" i="29"/>
  <c r="R22" i="29" s="1"/>
  <c r="H12" i="29"/>
  <c r="D12" i="29"/>
  <c r="F22" i="29" s="1"/>
  <c r="D5" i="29"/>
  <c r="D4" i="29"/>
  <c r="B39" i="28"/>
  <c r="B38" i="28"/>
  <c r="T34" i="28"/>
  <c r="Z34" i="28" s="1"/>
  <c r="P34" i="28"/>
  <c r="H34" i="28"/>
  <c r="N34" i="28" s="1"/>
  <c r="D34" i="28"/>
  <c r="T33" i="28"/>
  <c r="Z33" i="28" s="1"/>
  <c r="P33" i="28"/>
  <c r="H33" i="28"/>
  <c r="N33" i="28" s="1"/>
  <c r="D33" i="28"/>
  <c r="T29" i="28"/>
  <c r="P29" i="28"/>
  <c r="H29" i="28"/>
  <c r="N29" i="28" s="1"/>
  <c r="D29" i="28"/>
  <c r="T25" i="28"/>
  <c r="P25" i="28"/>
  <c r="H25" i="28"/>
  <c r="N25" i="28" s="1"/>
  <c r="D25" i="28"/>
  <c r="B25" i="28"/>
  <c r="T24" i="28"/>
  <c r="Z24" i="28" s="1"/>
  <c r="P24" i="28"/>
  <c r="H24" i="28"/>
  <c r="N24" i="28" s="1"/>
  <c r="D24" i="28"/>
  <c r="T22" i="28"/>
  <c r="Z22" i="28" s="1"/>
  <c r="P22" i="28"/>
  <c r="H22" i="28"/>
  <c r="D22" i="28"/>
  <c r="B22" i="28"/>
  <c r="T21" i="28"/>
  <c r="Z21" i="28" s="1"/>
  <c r="P21" i="28"/>
  <c r="H21" i="28"/>
  <c r="N21" i="28" s="1"/>
  <c r="D21" i="28"/>
  <c r="B21" i="28"/>
  <c r="T20" i="28"/>
  <c r="Z20" i="28" s="1"/>
  <c r="P20" i="28"/>
  <c r="H20" i="28"/>
  <c r="N20" i="28" s="1"/>
  <c r="D20" i="28"/>
  <c r="T16" i="28"/>
  <c r="Z16" i="28" s="1"/>
  <c r="P16" i="28"/>
  <c r="H16" i="28"/>
  <c r="N16" i="28" s="1"/>
  <c r="D16" i="28"/>
  <c r="B16" i="28"/>
  <c r="T15" i="28"/>
  <c r="P15" i="28"/>
  <c r="H15" i="28"/>
  <c r="N15" i="28" s="1"/>
  <c r="D15" i="28"/>
  <c r="T13" i="28"/>
  <c r="Z13" i="28" s="1"/>
  <c r="P13" i="28"/>
  <c r="H13" i="28"/>
  <c r="N13" i="28" s="1"/>
  <c r="D13" i="28"/>
  <c r="B13" i="28"/>
  <c r="T12" i="28"/>
  <c r="V20" i="28" s="1"/>
  <c r="P12" i="28"/>
  <c r="R36" i="28" s="1"/>
  <c r="H12" i="28"/>
  <c r="J16" i="28" s="1"/>
  <c r="D12" i="28"/>
  <c r="F20" i="28" s="1"/>
  <c r="D5" i="28"/>
  <c r="D4" i="28"/>
  <c r="X109" i="27"/>
  <c r="Z109" i="27" s="1"/>
  <c r="N109" i="27"/>
  <c r="L109" i="27"/>
  <c r="Z105" i="27"/>
  <c r="T105" i="27"/>
  <c r="P105" i="27"/>
  <c r="X105" i="27" s="1"/>
  <c r="L105" i="27"/>
  <c r="H105" i="27"/>
  <c r="N105" i="27" s="1"/>
  <c r="D105" i="27"/>
  <c r="B105" i="27"/>
  <c r="T104" i="27"/>
  <c r="P104" i="27"/>
  <c r="H104" i="27"/>
  <c r="D104" i="27"/>
  <c r="L104" i="27" s="1"/>
  <c r="N104" i="27" s="1"/>
  <c r="B104" i="27"/>
  <c r="T103" i="27"/>
  <c r="P103" i="27"/>
  <c r="N103" i="27"/>
  <c r="H103" i="27"/>
  <c r="L103" i="27" s="1"/>
  <c r="D103" i="27"/>
  <c r="B103" i="27"/>
  <c r="H102" i="27"/>
  <c r="Z100" i="27"/>
  <c r="X100" i="27"/>
  <c r="N100" i="27"/>
  <c r="L100" i="27"/>
  <c r="B100" i="27"/>
  <c r="T99" i="27"/>
  <c r="P99" i="27"/>
  <c r="X99" i="27" s="1"/>
  <c r="H99" i="27"/>
  <c r="N99" i="27" s="1"/>
  <c r="D99" i="27"/>
  <c r="L99" i="27" s="1"/>
  <c r="B99" i="27"/>
  <c r="Z98" i="27"/>
  <c r="X98" i="27"/>
  <c r="L98" i="27"/>
  <c r="N98" i="27" s="1"/>
  <c r="B98" i="27"/>
  <c r="X97" i="27"/>
  <c r="Z97" i="27" s="1"/>
  <c r="L97" i="27"/>
  <c r="N97" i="27" s="1"/>
  <c r="B97" i="27"/>
  <c r="T96" i="27"/>
  <c r="P96" i="27"/>
  <c r="X96" i="27" s="1"/>
  <c r="Z96" i="27" s="1"/>
  <c r="H96" i="27"/>
  <c r="D96" i="27"/>
  <c r="L96" i="27" s="1"/>
  <c r="N96" i="27" s="1"/>
  <c r="B96" i="27"/>
  <c r="Z95" i="27"/>
  <c r="X95" i="27"/>
  <c r="N95" i="27"/>
  <c r="L95" i="27"/>
  <c r="B95" i="27"/>
  <c r="Z94" i="27"/>
  <c r="X94" i="27"/>
  <c r="L94" i="27"/>
  <c r="N94" i="27" s="1"/>
  <c r="B94" i="27"/>
  <c r="T93" i="27"/>
  <c r="P93" i="27"/>
  <c r="X93" i="27" s="1"/>
  <c r="N93" i="27"/>
  <c r="L93" i="27"/>
  <c r="H93" i="27"/>
  <c r="D93" i="27"/>
  <c r="B93" i="27"/>
  <c r="X92" i="27"/>
  <c r="Z92" i="27" s="1"/>
  <c r="N92" i="27"/>
  <c r="L92" i="27"/>
  <c r="B92" i="27"/>
  <c r="Z91" i="27"/>
  <c r="T91" i="27"/>
  <c r="X91" i="27" s="1"/>
  <c r="P91" i="27"/>
  <c r="L91" i="27"/>
  <c r="H91" i="27"/>
  <c r="N91" i="27" s="1"/>
  <c r="D91" i="27"/>
  <c r="B91" i="27"/>
  <c r="X90" i="27"/>
  <c r="Z90" i="27" s="1"/>
  <c r="N90" i="27"/>
  <c r="L90" i="27"/>
  <c r="B90" i="27"/>
  <c r="X89" i="27"/>
  <c r="Z89" i="27" s="1"/>
  <c r="L89" i="27"/>
  <c r="N89" i="27" s="1"/>
  <c r="B89" i="27"/>
  <c r="Z88" i="27"/>
  <c r="X88" i="27"/>
  <c r="N88" i="27"/>
  <c r="L88" i="27"/>
  <c r="B88" i="27"/>
  <c r="T87" i="27"/>
  <c r="X87" i="27" s="1"/>
  <c r="Z87" i="27" s="1"/>
  <c r="P87" i="27"/>
  <c r="L87" i="27"/>
  <c r="H87" i="27"/>
  <c r="N87" i="27" s="1"/>
  <c r="D87" i="27"/>
  <c r="B87" i="27"/>
  <c r="Z86" i="27"/>
  <c r="X86" i="27"/>
  <c r="N86" i="27"/>
  <c r="L86" i="27"/>
  <c r="B86" i="27"/>
  <c r="X85" i="27"/>
  <c r="T85" i="27"/>
  <c r="Z85" i="27" s="1"/>
  <c r="P85" i="27"/>
  <c r="H85" i="27"/>
  <c r="D85" i="27"/>
  <c r="L85" i="27" s="1"/>
  <c r="B85" i="27"/>
  <c r="Z84" i="27"/>
  <c r="X84" i="27"/>
  <c r="N84" i="27"/>
  <c r="L84" i="27"/>
  <c r="B84" i="27"/>
  <c r="T83" i="27"/>
  <c r="P83" i="27"/>
  <c r="X83" i="27" s="1"/>
  <c r="H83" i="27"/>
  <c r="N83" i="27" s="1"/>
  <c r="D83" i="27"/>
  <c r="L83" i="27" s="1"/>
  <c r="B83" i="27"/>
  <c r="Z82" i="27"/>
  <c r="X82" i="27"/>
  <c r="N82" i="27"/>
  <c r="L82" i="27"/>
  <c r="B82" i="27"/>
  <c r="T81" i="27"/>
  <c r="Z81" i="27" s="1"/>
  <c r="P81" i="27"/>
  <c r="X81" i="27" s="1"/>
  <c r="H81" i="27"/>
  <c r="L81" i="27" s="1"/>
  <c r="N81" i="27" s="1"/>
  <c r="D81" i="27"/>
  <c r="B81" i="27"/>
  <c r="X80" i="27"/>
  <c r="Z80" i="27" s="1"/>
  <c r="N80" i="27"/>
  <c r="L80" i="27"/>
  <c r="B80" i="27"/>
  <c r="T79" i="27"/>
  <c r="X79" i="27" s="1"/>
  <c r="Z79" i="27" s="1"/>
  <c r="P79" i="27"/>
  <c r="L79" i="27"/>
  <c r="H79" i="27"/>
  <c r="N79" i="27" s="1"/>
  <c r="D79" i="27"/>
  <c r="B79" i="27"/>
  <c r="Z78" i="27"/>
  <c r="X78" i="27"/>
  <c r="N78" i="27"/>
  <c r="L78" i="27"/>
  <c r="B78" i="27"/>
  <c r="X77" i="27"/>
  <c r="T77" i="27"/>
  <c r="Z77" i="27" s="1"/>
  <c r="P77" i="27"/>
  <c r="H77" i="27"/>
  <c r="N77" i="27" s="1"/>
  <c r="D77" i="27"/>
  <c r="L77" i="27" s="1"/>
  <c r="B77" i="27"/>
  <c r="Z76" i="27"/>
  <c r="X76" i="27"/>
  <c r="N76" i="27"/>
  <c r="L76" i="27"/>
  <c r="B76" i="27"/>
  <c r="T75" i="27"/>
  <c r="Z75" i="27" s="1"/>
  <c r="P75" i="27"/>
  <c r="X75" i="27" s="1"/>
  <c r="H75" i="27"/>
  <c r="N75" i="27" s="1"/>
  <c r="D75" i="27"/>
  <c r="L75" i="27" s="1"/>
  <c r="B75" i="27"/>
  <c r="Z74" i="27"/>
  <c r="X74" i="27"/>
  <c r="N74" i="27"/>
  <c r="L74" i="27"/>
  <c r="B74" i="27"/>
  <c r="T73" i="27"/>
  <c r="P73" i="27"/>
  <c r="X73" i="27" s="1"/>
  <c r="N73" i="27"/>
  <c r="L73" i="27"/>
  <c r="H73" i="27"/>
  <c r="D73" i="27"/>
  <c r="B73" i="27"/>
  <c r="Z72" i="27"/>
  <c r="X72" i="27"/>
  <c r="N72" i="27"/>
  <c r="L72" i="27"/>
  <c r="B72" i="27"/>
  <c r="Z71" i="27"/>
  <c r="X71" i="27"/>
  <c r="L71" i="27"/>
  <c r="N71" i="27" s="1"/>
  <c r="B71" i="27"/>
  <c r="Z70" i="27"/>
  <c r="X70" i="27"/>
  <c r="N70" i="27"/>
  <c r="L70" i="27"/>
  <c r="B70" i="27"/>
  <c r="X69" i="27"/>
  <c r="Z69" i="27" s="1"/>
  <c r="L69" i="27"/>
  <c r="N69" i="27" s="1"/>
  <c r="B69" i="27"/>
  <c r="Z68" i="27"/>
  <c r="X68" i="27"/>
  <c r="L68" i="27"/>
  <c r="N68" i="27" s="1"/>
  <c r="B68" i="27"/>
  <c r="X67" i="27"/>
  <c r="Z67" i="27" s="1"/>
  <c r="N67" i="27"/>
  <c r="L67" i="27"/>
  <c r="B67" i="27"/>
  <c r="Z66" i="27"/>
  <c r="X66" i="27"/>
  <c r="N66" i="27"/>
  <c r="L66" i="27"/>
  <c r="B66" i="27"/>
  <c r="X65" i="27"/>
  <c r="T65" i="27"/>
  <c r="P65" i="27"/>
  <c r="H65" i="27"/>
  <c r="D65" i="27"/>
  <c r="B65" i="27"/>
  <c r="Z64" i="27"/>
  <c r="X64" i="27"/>
  <c r="L64" i="27"/>
  <c r="N64" i="27" s="1"/>
  <c r="B64" i="27"/>
  <c r="X63" i="27"/>
  <c r="Z63" i="27" s="1"/>
  <c r="N63" i="27"/>
  <c r="L63" i="27"/>
  <c r="B63" i="27"/>
  <c r="Z62" i="27"/>
  <c r="X62" i="27"/>
  <c r="N62" i="27"/>
  <c r="L62" i="27"/>
  <c r="B62" i="27"/>
  <c r="X61" i="27"/>
  <c r="Z61" i="27" s="1"/>
  <c r="L61" i="27"/>
  <c r="N61" i="27" s="1"/>
  <c r="B61" i="27"/>
  <c r="X60" i="27"/>
  <c r="Z60" i="27" s="1"/>
  <c r="N60" i="27"/>
  <c r="L60" i="27"/>
  <c r="B60" i="27"/>
  <c r="Z59" i="27"/>
  <c r="X59" i="27"/>
  <c r="L59" i="27"/>
  <c r="N59" i="27" s="1"/>
  <c r="B59" i="27"/>
  <c r="Z58" i="27"/>
  <c r="X58" i="27"/>
  <c r="N58" i="27"/>
  <c r="L58" i="27"/>
  <c r="B58" i="27"/>
  <c r="X57" i="27"/>
  <c r="Z57" i="27" s="1"/>
  <c r="L57" i="27"/>
  <c r="N57" i="27" s="1"/>
  <c r="B57" i="27"/>
  <c r="Z56" i="27"/>
  <c r="X56" i="27"/>
  <c r="N56" i="27"/>
  <c r="L56" i="27"/>
  <c r="B56" i="27"/>
  <c r="T55" i="27"/>
  <c r="P55" i="27"/>
  <c r="H55" i="27"/>
  <c r="D55" i="27"/>
  <c r="L55" i="27" s="1"/>
  <c r="B55" i="27"/>
  <c r="T54" i="27"/>
  <c r="P54" i="27"/>
  <c r="X54" i="27" s="1"/>
  <c r="N54" i="27"/>
  <c r="L54" i="27"/>
  <c r="H54" i="27"/>
  <c r="D54" i="27"/>
  <c r="Z50" i="27"/>
  <c r="X50" i="27"/>
  <c r="N50" i="27"/>
  <c r="L50" i="27"/>
  <c r="B50" i="27"/>
  <c r="Z49" i="27"/>
  <c r="X49" i="27"/>
  <c r="L49" i="27"/>
  <c r="N49" i="27" s="1"/>
  <c r="B49" i="27"/>
  <c r="X48" i="27"/>
  <c r="Z48" i="27" s="1"/>
  <c r="N48" i="27"/>
  <c r="L48" i="27"/>
  <c r="B48" i="27"/>
  <c r="Z47" i="27"/>
  <c r="X47" i="27"/>
  <c r="N47" i="27"/>
  <c r="L47" i="27"/>
  <c r="B47" i="27"/>
  <c r="Z46" i="27"/>
  <c r="X46" i="27"/>
  <c r="N46" i="27"/>
  <c r="L46" i="27"/>
  <c r="B46" i="27"/>
  <c r="X45" i="27"/>
  <c r="Z45" i="27" s="1"/>
  <c r="N45" i="27"/>
  <c r="L45" i="27"/>
  <c r="B45" i="27"/>
  <c r="X44" i="27"/>
  <c r="Z44" i="27" s="1"/>
  <c r="L44" i="27"/>
  <c r="N44" i="27" s="1"/>
  <c r="B44" i="27"/>
  <c r="Z43" i="27"/>
  <c r="X43" i="27"/>
  <c r="N43" i="27"/>
  <c r="L43" i="27"/>
  <c r="B43" i="27"/>
  <c r="X42" i="27"/>
  <c r="Z42" i="27" s="1"/>
  <c r="L42" i="27"/>
  <c r="N42" i="27" s="1"/>
  <c r="B42" i="27"/>
  <c r="Z41" i="27"/>
  <c r="X41" i="27"/>
  <c r="L41" i="27"/>
  <c r="N41" i="27" s="1"/>
  <c r="B41" i="27"/>
  <c r="X40" i="27"/>
  <c r="Z40" i="27" s="1"/>
  <c r="L40" i="27"/>
  <c r="N40" i="27" s="1"/>
  <c r="B40" i="27"/>
  <c r="Z39" i="27"/>
  <c r="X39" i="27"/>
  <c r="N39" i="27"/>
  <c r="L39" i="27"/>
  <c r="B39" i="27"/>
  <c r="X38" i="27"/>
  <c r="Z38" i="27" s="1"/>
  <c r="L38" i="27"/>
  <c r="N38" i="27" s="1"/>
  <c r="B38" i="27"/>
  <c r="Z37" i="27"/>
  <c r="X37" i="27"/>
  <c r="N37" i="27"/>
  <c r="L37" i="27"/>
  <c r="B37" i="27"/>
  <c r="X36" i="27"/>
  <c r="Z36" i="27" s="1"/>
  <c r="T36" i="27"/>
  <c r="P36" i="27"/>
  <c r="H36" i="27"/>
  <c r="D36" i="27"/>
  <c r="L36" i="27" s="1"/>
  <c r="X34" i="27"/>
  <c r="Z34" i="27" s="1"/>
  <c r="T34" i="27"/>
  <c r="P34" i="27"/>
  <c r="N34" i="27"/>
  <c r="L34" i="27"/>
  <c r="H34" i="27"/>
  <c r="D34" i="27"/>
  <c r="B34" i="27"/>
  <c r="T33" i="27"/>
  <c r="P33" i="27"/>
  <c r="X33" i="27" s="1"/>
  <c r="Z33" i="27" s="1"/>
  <c r="N33" i="27"/>
  <c r="H33" i="27"/>
  <c r="D33" i="27"/>
  <c r="L33" i="27" s="1"/>
  <c r="B33" i="27"/>
  <c r="T32" i="27"/>
  <c r="P32" i="27"/>
  <c r="X32" i="27" s="1"/>
  <c r="H32" i="27"/>
  <c r="D32" i="27"/>
  <c r="L32" i="27" s="1"/>
  <c r="B32" i="27"/>
  <c r="X31" i="27"/>
  <c r="T31" i="27"/>
  <c r="Z31" i="27" s="1"/>
  <c r="P31" i="27"/>
  <c r="H31" i="27"/>
  <c r="N31" i="27" s="1"/>
  <c r="D31" i="27"/>
  <c r="B31" i="27"/>
  <c r="X30" i="27"/>
  <c r="Z30" i="27" s="1"/>
  <c r="T30" i="27"/>
  <c r="P30" i="27"/>
  <c r="L30" i="27"/>
  <c r="N30" i="27" s="1"/>
  <c r="H30" i="27"/>
  <c r="D30" i="27"/>
  <c r="B30" i="27"/>
  <c r="T29" i="27"/>
  <c r="P29" i="27"/>
  <c r="X29" i="27" s="1"/>
  <c r="Z29" i="27" s="1"/>
  <c r="H29" i="27"/>
  <c r="D29" i="27"/>
  <c r="L29" i="27" s="1"/>
  <c r="N29" i="27" s="1"/>
  <c r="B29" i="27"/>
  <c r="T28" i="27"/>
  <c r="Z28" i="27" s="1"/>
  <c r="P28" i="27"/>
  <c r="X28" i="27" s="1"/>
  <c r="H28" i="27"/>
  <c r="D28" i="27"/>
  <c r="L28" i="27" s="1"/>
  <c r="B28" i="27"/>
  <c r="T27" i="27"/>
  <c r="Z27" i="27" s="1"/>
  <c r="P27" i="27"/>
  <c r="L27" i="27"/>
  <c r="H27" i="27"/>
  <c r="D27" i="27"/>
  <c r="B27" i="27"/>
  <c r="X26" i="27"/>
  <c r="Z26" i="27" s="1"/>
  <c r="T26" i="27"/>
  <c r="P26" i="27"/>
  <c r="L26" i="27"/>
  <c r="N26" i="27" s="1"/>
  <c r="H26" i="27"/>
  <c r="D26" i="27"/>
  <c r="B26" i="27"/>
  <c r="T25" i="27"/>
  <c r="P25" i="27"/>
  <c r="X25" i="27" s="1"/>
  <c r="Z25" i="27" s="1"/>
  <c r="H25" i="27"/>
  <c r="D25" i="27"/>
  <c r="L25" i="27" s="1"/>
  <c r="N25" i="27" s="1"/>
  <c r="B25" i="27"/>
  <c r="T24" i="27"/>
  <c r="P24" i="27"/>
  <c r="X24" i="27" s="1"/>
  <c r="H24" i="27"/>
  <c r="D24" i="27"/>
  <c r="L24" i="27" s="1"/>
  <c r="B24" i="27"/>
  <c r="T23" i="27"/>
  <c r="P23" i="27"/>
  <c r="H23" i="27"/>
  <c r="D23" i="27"/>
  <c r="B23" i="27"/>
  <c r="Z22" i="27"/>
  <c r="X22" i="27"/>
  <c r="T22" i="27"/>
  <c r="P22" i="27"/>
  <c r="L22" i="27"/>
  <c r="N22" i="27" s="1"/>
  <c r="H22" i="27"/>
  <c r="D22" i="27"/>
  <c r="B22" i="27"/>
  <c r="Z21" i="27"/>
  <c r="T21" i="27"/>
  <c r="P21" i="27"/>
  <c r="X21" i="27" s="1"/>
  <c r="H21" i="27"/>
  <c r="D21" i="27"/>
  <c r="L21" i="27" s="1"/>
  <c r="N21" i="27" s="1"/>
  <c r="B21" i="27"/>
  <c r="T20" i="27"/>
  <c r="P20" i="27"/>
  <c r="X20" i="27" s="1"/>
  <c r="H20" i="27"/>
  <c r="D20" i="27"/>
  <c r="B20" i="27"/>
  <c r="T19" i="27"/>
  <c r="P19" i="27"/>
  <c r="H19" i="27"/>
  <c r="D19" i="27"/>
  <c r="B19" i="27"/>
  <c r="X18" i="27"/>
  <c r="Z18" i="27" s="1"/>
  <c r="T18" i="27"/>
  <c r="P18" i="27"/>
  <c r="N18" i="27"/>
  <c r="L18" i="27"/>
  <c r="H18" i="27"/>
  <c r="D18" i="27"/>
  <c r="B18" i="27"/>
  <c r="T17" i="27"/>
  <c r="P17" i="27"/>
  <c r="X17" i="27" s="1"/>
  <c r="Z17" i="27" s="1"/>
  <c r="N17" i="27"/>
  <c r="H17" i="27"/>
  <c r="D17" i="27"/>
  <c r="L17" i="27" s="1"/>
  <c r="B17" i="27"/>
  <c r="T16" i="27"/>
  <c r="P16" i="27"/>
  <c r="H16" i="27"/>
  <c r="D16" i="27"/>
  <c r="L16" i="27" s="1"/>
  <c r="B16" i="27"/>
  <c r="X15" i="27"/>
  <c r="T15" i="27"/>
  <c r="P15" i="27"/>
  <c r="H15" i="27"/>
  <c r="D15" i="27"/>
  <c r="B15" i="27"/>
  <c r="X14" i="27"/>
  <c r="Z14" i="27" s="1"/>
  <c r="T14" i="27"/>
  <c r="P14" i="27"/>
  <c r="L14" i="27"/>
  <c r="N14" i="27" s="1"/>
  <c r="H14" i="27"/>
  <c r="D14" i="27"/>
  <c r="B14" i="27"/>
  <c r="T13" i="27"/>
  <c r="P13" i="27"/>
  <c r="X13" i="27" s="1"/>
  <c r="Z13" i="27" s="1"/>
  <c r="H13" i="27"/>
  <c r="D13" i="27"/>
  <c r="L13" i="27" s="1"/>
  <c r="N13" i="27" s="1"/>
  <c r="B13" i="27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N24" i="26" s="1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D21" i="26"/>
  <c r="B21" i="26"/>
  <c r="T20" i="26"/>
  <c r="Z20" i="26" s="1"/>
  <c r="P20" i="26"/>
  <c r="H20" i="26"/>
  <c r="N20" i="26" s="1"/>
  <c r="D20" i="26"/>
  <c r="T16" i="26"/>
  <c r="Z16" i="26" s="1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N13" i="26" s="1"/>
  <c r="D13" i="26"/>
  <c r="B13" i="26"/>
  <c r="T12" i="26"/>
  <c r="P12" i="26"/>
  <c r="R22" i="26" s="1"/>
  <c r="H12" i="26"/>
  <c r="J16" i="26" s="1"/>
  <c r="D12" i="26"/>
  <c r="F22" i="26" s="1"/>
  <c r="D5" i="26"/>
  <c r="D4" i="26"/>
  <c r="B39" i="25"/>
  <c r="B38" i="25"/>
  <c r="T34" i="25"/>
  <c r="Z34" i="25" s="1"/>
  <c r="P34" i="25"/>
  <c r="H34" i="25"/>
  <c r="N34" i="25" s="1"/>
  <c r="D34" i="25"/>
  <c r="T33" i="25"/>
  <c r="Z33" i="25" s="1"/>
  <c r="P33" i="25"/>
  <c r="H33" i="25"/>
  <c r="N33" i="25" s="1"/>
  <c r="D33" i="25"/>
  <c r="T29" i="25"/>
  <c r="Z29" i="25" s="1"/>
  <c r="P29" i="25"/>
  <c r="H29" i="25"/>
  <c r="N29" i="25" s="1"/>
  <c r="D29" i="25"/>
  <c r="T25" i="25"/>
  <c r="Z25" i="25" s="1"/>
  <c r="P25" i="25"/>
  <c r="H25" i="25"/>
  <c r="N25" i="25" s="1"/>
  <c r="D25" i="25"/>
  <c r="B25" i="25"/>
  <c r="T24" i="25"/>
  <c r="Z24" i="25" s="1"/>
  <c r="P24" i="25"/>
  <c r="H24" i="25"/>
  <c r="N24" i="25" s="1"/>
  <c r="D24" i="25"/>
  <c r="T22" i="25"/>
  <c r="Z22" i="25" s="1"/>
  <c r="P22" i="25"/>
  <c r="H22" i="25"/>
  <c r="N22" i="25" s="1"/>
  <c r="D22" i="25"/>
  <c r="B22" i="25"/>
  <c r="T21" i="25"/>
  <c r="Z21" i="25" s="1"/>
  <c r="P21" i="25"/>
  <c r="H21" i="25"/>
  <c r="N21" i="25" s="1"/>
  <c r="D21" i="25"/>
  <c r="B21" i="25"/>
  <c r="T20" i="25"/>
  <c r="Z20" i="25" s="1"/>
  <c r="P20" i="25"/>
  <c r="H20" i="25"/>
  <c r="N20" i="25" s="1"/>
  <c r="D20" i="25"/>
  <c r="T16" i="25"/>
  <c r="P16" i="25"/>
  <c r="H16" i="25"/>
  <c r="N16" i="25" s="1"/>
  <c r="D16" i="25"/>
  <c r="B16" i="25"/>
  <c r="T15" i="25"/>
  <c r="Z15" i="25" s="1"/>
  <c r="P15" i="25"/>
  <c r="H15" i="25"/>
  <c r="N15" i="25" s="1"/>
  <c r="D15" i="25"/>
  <c r="T13" i="25"/>
  <c r="Z13" i="25" s="1"/>
  <c r="P13" i="25"/>
  <c r="H13" i="25"/>
  <c r="N13" i="25" s="1"/>
  <c r="D13" i="25"/>
  <c r="B13" i="25"/>
  <c r="T12" i="25"/>
  <c r="V20" i="25" s="1"/>
  <c r="P12" i="25"/>
  <c r="R36" i="25" s="1"/>
  <c r="H12" i="25"/>
  <c r="J16" i="25" s="1"/>
  <c r="D12" i="25"/>
  <c r="F20" i="25" s="1"/>
  <c r="D5" i="25"/>
  <c r="D4" i="25"/>
  <c r="Z83" i="24"/>
  <c r="X83" i="24"/>
  <c r="N83" i="24"/>
  <c r="L83" i="24"/>
  <c r="Z79" i="24"/>
  <c r="T79" i="24"/>
  <c r="X79" i="24" s="1"/>
  <c r="P79" i="24"/>
  <c r="L79" i="24"/>
  <c r="H79" i="24"/>
  <c r="N79" i="24" s="1"/>
  <c r="D79" i="24"/>
  <c r="Z77" i="24"/>
  <c r="X77" i="24"/>
  <c r="N77" i="24"/>
  <c r="L77" i="24"/>
  <c r="B77" i="24"/>
  <c r="T76" i="24"/>
  <c r="P76" i="24"/>
  <c r="X76" i="24" s="1"/>
  <c r="H76" i="24"/>
  <c r="D76" i="24"/>
  <c r="L76" i="24" s="1"/>
  <c r="N76" i="24" s="1"/>
  <c r="B76" i="24"/>
  <c r="X75" i="24"/>
  <c r="Z75" i="24" s="1"/>
  <c r="L75" i="24"/>
  <c r="N75" i="24" s="1"/>
  <c r="B75" i="24"/>
  <c r="Z74" i="24"/>
  <c r="X74" i="24"/>
  <c r="N74" i="24"/>
  <c r="L74" i="24"/>
  <c r="B74" i="24"/>
  <c r="Z73" i="24"/>
  <c r="X73" i="24"/>
  <c r="N73" i="24"/>
  <c r="L73" i="24"/>
  <c r="B73" i="24"/>
  <c r="T72" i="24"/>
  <c r="P72" i="24"/>
  <c r="X72" i="24" s="1"/>
  <c r="H72" i="24"/>
  <c r="D72" i="24"/>
  <c r="L72" i="24" s="1"/>
  <c r="N72" i="24" s="1"/>
  <c r="B72" i="24"/>
  <c r="X71" i="24"/>
  <c r="Z71" i="24" s="1"/>
  <c r="N71" i="24"/>
  <c r="L71" i="24"/>
  <c r="B71" i="24"/>
  <c r="X70" i="24"/>
  <c r="Z70" i="24" s="1"/>
  <c r="N70" i="24"/>
  <c r="L70" i="24"/>
  <c r="B70" i="24"/>
  <c r="T69" i="24"/>
  <c r="P69" i="24"/>
  <c r="H69" i="24"/>
  <c r="D69" i="24"/>
  <c r="L69" i="24" s="1"/>
  <c r="N69" i="24" s="1"/>
  <c r="B69" i="24"/>
  <c r="Z68" i="24"/>
  <c r="X68" i="24"/>
  <c r="N68" i="24"/>
  <c r="L68" i="24"/>
  <c r="B68" i="24"/>
  <c r="X67" i="24"/>
  <c r="Z67" i="24" s="1"/>
  <c r="L67" i="24"/>
  <c r="N67" i="24" s="1"/>
  <c r="B67" i="24"/>
  <c r="T66" i="24"/>
  <c r="P66" i="24"/>
  <c r="X66" i="24" s="1"/>
  <c r="Z66" i="24" s="1"/>
  <c r="L66" i="24"/>
  <c r="H66" i="24"/>
  <c r="N66" i="24" s="1"/>
  <c r="D66" i="24"/>
  <c r="B66" i="24"/>
  <c r="Z65" i="24"/>
  <c r="X65" i="24"/>
  <c r="N65" i="24"/>
  <c r="L65" i="24"/>
  <c r="B65" i="24"/>
  <c r="X64" i="24"/>
  <c r="T64" i="24"/>
  <c r="Z64" i="24" s="1"/>
  <c r="P64" i="24"/>
  <c r="N64" i="24"/>
  <c r="L64" i="24"/>
  <c r="H64" i="24"/>
  <c r="D64" i="24"/>
  <c r="B64" i="24"/>
  <c r="X63" i="24"/>
  <c r="Z63" i="24" s="1"/>
  <c r="N63" i="24"/>
  <c r="L63" i="24"/>
  <c r="B63" i="24"/>
  <c r="X62" i="24"/>
  <c r="Z62" i="24" s="1"/>
  <c r="T62" i="24"/>
  <c r="P62" i="24"/>
  <c r="H62" i="24"/>
  <c r="N62" i="24" s="1"/>
  <c r="D62" i="24"/>
  <c r="B62" i="24"/>
  <c r="Z61" i="24"/>
  <c r="X61" i="24"/>
  <c r="N61" i="24"/>
  <c r="L61" i="24"/>
  <c r="B61" i="24"/>
  <c r="Z60" i="24"/>
  <c r="X60" i="24"/>
  <c r="N60" i="24"/>
  <c r="L60" i="24"/>
  <c r="B60" i="24"/>
  <c r="X59" i="24"/>
  <c r="T59" i="24"/>
  <c r="Z59" i="24" s="1"/>
  <c r="P59" i="24"/>
  <c r="H59" i="24"/>
  <c r="N59" i="24" s="1"/>
  <c r="D59" i="24"/>
  <c r="B59" i="24"/>
  <c r="Z58" i="24"/>
  <c r="X58" i="24"/>
  <c r="N58" i="24"/>
  <c r="L58" i="24"/>
  <c r="B58" i="24"/>
  <c r="Z57" i="24"/>
  <c r="X57" i="24"/>
  <c r="N57" i="24"/>
  <c r="L57" i="24"/>
  <c r="B57" i="24"/>
  <c r="T56" i="24"/>
  <c r="Z56" i="24" s="1"/>
  <c r="P56" i="24"/>
  <c r="N56" i="24"/>
  <c r="H56" i="24"/>
  <c r="D56" i="24"/>
  <c r="L56" i="24" s="1"/>
  <c r="B56" i="24"/>
  <c r="Z55" i="24"/>
  <c r="X55" i="24"/>
  <c r="L55" i="24"/>
  <c r="N55" i="24" s="1"/>
  <c r="B55" i="24"/>
  <c r="T54" i="24"/>
  <c r="P54" i="24"/>
  <c r="X54" i="24" s="1"/>
  <c r="Z54" i="24" s="1"/>
  <c r="L54" i="24"/>
  <c r="H54" i="24"/>
  <c r="N54" i="24" s="1"/>
  <c r="D54" i="24"/>
  <c r="B54" i="24"/>
  <c r="Z53" i="24"/>
  <c r="X53" i="24"/>
  <c r="N53" i="24"/>
  <c r="L53" i="24"/>
  <c r="B53" i="24"/>
  <c r="X52" i="24"/>
  <c r="T52" i="24"/>
  <c r="Z52" i="24" s="1"/>
  <c r="P52" i="24"/>
  <c r="N52" i="24"/>
  <c r="L52" i="24"/>
  <c r="H52" i="24"/>
  <c r="D52" i="24"/>
  <c r="B52" i="24"/>
  <c r="X51" i="24"/>
  <c r="Z51" i="24" s="1"/>
  <c r="N51" i="24"/>
  <c r="L51" i="24"/>
  <c r="B51" i="24"/>
  <c r="X50" i="24"/>
  <c r="Z50" i="24" s="1"/>
  <c r="L50" i="24"/>
  <c r="N50" i="24" s="1"/>
  <c r="B50" i="24"/>
  <c r="T49" i="24"/>
  <c r="X49" i="24" s="1"/>
  <c r="Z49" i="24" s="1"/>
  <c r="P49" i="24"/>
  <c r="L49" i="24"/>
  <c r="H49" i="24"/>
  <c r="N49" i="24" s="1"/>
  <c r="D49" i="24"/>
  <c r="B49" i="24"/>
  <c r="X48" i="24"/>
  <c r="Z48" i="24" s="1"/>
  <c r="L48" i="24"/>
  <c r="N48" i="24" s="1"/>
  <c r="B48" i="24"/>
  <c r="Z47" i="24"/>
  <c r="X47" i="24"/>
  <c r="N47" i="24"/>
  <c r="L47" i="24"/>
  <c r="B47" i="24"/>
  <c r="Z46" i="24"/>
  <c r="X46" i="24"/>
  <c r="N46" i="24"/>
  <c r="L46" i="24"/>
  <c r="B46" i="24"/>
  <c r="Z45" i="24"/>
  <c r="X45" i="24"/>
  <c r="N45" i="24"/>
  <c r="L45" i="24"/>
  <c r="B45" i="24"/>
  <c r="X44" i="24"/>
  <c r="T44" i="24"/>
  <c r="P44" i="24"/>
  <c r="N44" i="24"/>
  <c r="L44" i="24"/>
  <c r="H44" i="24"/>
  <c r="D44" i="24"/>
  <c r="B44" i="24"/>
  <c r="X43" i="24"/>
  <c r="T43" i="24"/>
  <c r="Z43" i="24" s="1"/>
  <c r="P43" i="24"/>
  <c r="H43" i="24"/>
  <c r="D43" i="24"/>
  <c r="X39" i="24"/>
  <c r="Z39" i="24" s="1"/>
  <c r="N39" i="24"/>
  <c r="L39" i="24"/>
  <c r="B39" i="24"/>
  <c r="Z38" i="24"/>
  <c r="X38" i="24"/>
  <c r="N38" i="24"/>
  <c r="L38" i="24"/>
  <c r="B38" i="24"/>
  <c r="X37" i="24"/>
  <c r="Z37" i="24" s="1"/>
  <c r="L37" i="24"/>
  <c r="N37" i="24" s="1"/>
  <c r="B37" i="24"/>
  <c r="X36" i="24"/>
  <c r="Z36" i="24" s="1"/>
  <c r="L36" i="24"/>
  <c r="N36" i="24" s="1"/>
  <c r="B36" i="24"/>
  <c r="Z35" i="24"/>
  <c r="X35" i="24"/>
  <c r="N35" i="24"/>
  <c r="L35" i="24"/>
  <c r="B35" i="24"/>
  <c r="Z34" i="24"/>
  <c r="X34" i="24"/>
  <c r="N34" i="24"/>
  <c r="L34" i="24"/>
  <c r="B34" i="24"/>
  <c r="Z33" i="24"/>
  <c r="X33" i="24"/>
  <c r="N33" i="24"/>
  <c r="L33" i="24"/>
  <c r="B33" i="24"/>
  <c r="Z32" i="24"/>
  <c r="X32" i="24"/>
  <c r="N32" i="24"/>
  <c r="L32" i="24"/>
  <c r="B32" i="24"/>
  <c r="Z31" i="24"/>
  <c r="X31" i="24"/>
  <c r="N31" i="24"/>
  <c r="L31" i="24"/>
  <c r="B31" i="24"/>
  <c r="Z30" i="24"/>
  <c r="X30" i="24"/>
  <c r="N30" i="24"/>
  <c r="L30" i="24"/>
  <c r="B30" i="24"/>
  <c r="T29" i="24"/>
  <c r="P29" i="24"/>
  <c r="H29" i="24"/>
  <c r="D29" i="24"/>
  <c r="L29" i="24" s="1"/>
  <c r="N29" i="24" s="1"/>
  <c r="T27" i="24"/>
  <c r="Z27" i="24" s="1"/>
  <c r="P27" i="24"/>
  <c r="X27" i="24" s="1"/>
  <c r="H27" i="24"/>
  <c r="D27" i="24"/>
  <c r="L27" i="24" s="1"/>
  <c r="B27" i="24"/>
  <c r="T26" i="24"/>
  <c r="P26" i="24"/>
  <c r="L26" i="24"/>
  <c r="H26" i="24"/>
  <c r="D26" i="24"/>
  <c r="B26" i="24"/>
  <c r="Z25" i="24"/>
  <c r="X25" i="24"/>
  <c r="T25" i="24"/>
  <c r="P25" i="24"/>
  <c r="N25" i="24"/>
  <c r="L25" i="24"/>
  <c r="H25" i="24"/>
  <c r="D25" i="24"/>
  <c r="B25" i="24"/>
  <c r="Z24" i="24"/>
  <c r="T24" i="24"/>
  <c r="P24" i="24"/>
  <c r="X24" i="24" s="1"/>
  <c r="N24" i="24"/>
  <c r="H24" i="24"/>
  <c r="D24" i="24"/>
  <c r="L24" i="24" s="1"/>
  <c r="B24" i="24"/>
  <c r="T23" i="24"/>
  <c r="Z23" i="24" s="1"/>
  <c r="P23" i="24"/>
  <c r="H23" i="24"/>
  <c r="N23" i="24" s="1"/>
  <c r="D23" i="24"/>
  <c r="L23" i="24" s="1"/>
  <c r="B23" i="24"/>
  <c r="X22" i="24"/>
  <c r="T22" i="24"/>
  <c r="P22" i="24"/>
  <c r="H22" i="24"/>
  <c r="D22" i="24"/>
  <c r="B22" i="24"/>
  <c r="Z21" i="24"/>
  <c r="X21" i="24"/>
  <c r="T21" i="24"/>
  <c r="P21" i="24"/>
  <c r="N21" i="24"/>
  <c r="L21" i="24"/>
  <c r="H21" i="24"/>
  <c r="D21" i="24"/>
  <c r="B21" i="24"/>
  <c r="Z20" i="24"/>
  <c r="T20" i="24"/>
  <c r="P20" i="24"/>
  <c r="X20" i="24" s="1"/>
  <c r="N20" i="24"/>
  <c r="H20" i="24"/>
  <c r="D20" i="24"/>
  <c r="L20" i="24" s="1"/>
  <c r="B20" i="24"/>
  <c r="T19" i="24"/>
  <c r="P19" i="24"/>
  <c r="X19" i="24" s="1"/>
  <c r="H19" i="24"/>
  <c r="D19" i="24"/>
  <c r="B19" i="24"/>
  <c r="T18" i="24"/>
  <c r="P18" i="24"/>
  <c r="L18" i="24"/>
  <c r="H18" i="24"/>
  <c r="D18" i="24"/>
  <c r="B18" i="24"/>
  <c r="X17" i="24"/>
  <c r="Z17" i="24" s="1"/>
  <c r="T17" i="24"/>
  <c r="P17" i="24"/>
  <c r="N17" i="24"/>
  <c r="L17" i="24"/>
  <c r="H17" i="24"/>
  <c r="D17" i="24"/>
  <c r="B17" i="24"/>
  <c r="T16" i="24"/>
  <c r="P16" i="24"/>
  <c r="X16" i="24" s="1"/>
  <c r="Z16" i="24" s="1"/>
  <c r="N16" i="24"/>
  <c r="H16" i="24"/>
  <c r="D16" i="24"/>
  <c r="L16" i="24" s="1"/>
  <c r="B16" i="24"/>
  <c r="T15" i="24"/>
  <c r="P15" i="24"/>
  <c r="H15" i="24"/>
  <c r="D15" i="24"/>
  <c r="L15" i="24" s="1"/>
  <c r="B15" i="24"/>
  <c r="X14" i="24"/>
  <c r="T14" i="24"/>
  <c r="P14" i="24"/>
  <c r="H14" i="24"/>
  <c r="D14" i="24"/>
  <c r="B14" i="24"/>
  <c r="X13" i="24"/>
  <c r="Z13" i="24" s="1"/>
  <c r="T13" i="24"/>
  <c r="P13" i="24"/>
  <c r="L13" i="24"/>
  <c r="N13" i="24" s="1"/>
  <c r="H13" i="24"/>
  <c r="D13" i="24"/>
  <c r="B13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D20" i="23"/>
  <c r="T16" i="23"/>
  <c r="Z16" i="23" s="1"/>
  <c r="P16" i="23"/>
  <c r="H16" i="23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V34" i="23" s="1"/>
  <c r="P12" i="23"/>
  <c r="R25" i="23" s="1"/>
  <c r="H12" i="23"/>
  <c r="J34" i="23" s="1"/>
  <c r="D12" i="23"/>
  <c r="F20" i="23" s="1"/>
  <c r="D5" i="23"/>
  <c r="D4" i="23"/>
  <c r="B39" i="22"/>
  <c r="B38" i="22"/>
  <c r="T34" i="22"/>
  <c r="Z34" i="22" s="1"/>
  <c r="P34" i="22"/>
  <c r="H34" i="22"/>
  <c r="N34" i="22" s="1"/>
  <c r="D34" i="22"/>
  <c r="T33" i="22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V20" i="22" s="1"/>
  <c r="P12" i="22"/>
  <c r="R22" i="22" s="1"/>
  <c r="H12" i="22"/>
  <c r="J31" i="22" s="1"/>
  <c r="D12" i="22"/>
  <c r="F22" i="22" s="1"/>
  <c r="D5" i="22"/>
  <c r="D4" i="22"/>
  <c r="X82" i="21"/>
  <c r="Z82" i="21" s="1"/>
  <c r="N82" i="21"/>
  <c r="L82" i="21"/>
  <c r="Z78" i="21"/>
  <c r="X78" i="21"/>
  <c r="T78" i="21"/>
  <c r="P78" i="21"/>
  <c r="H78" i="21"/>
  <c r="N78" i="21" s="1"/>
  <c r="D78" i="21"/>
  <c r="X76" i="21"/>
  <c r="Z76" i="21" s="1"/>
  <c r="N76" i="21"/>
  <c r="L76" i="21"/>
  <c r="B76" i="21"/>
  <c r="T75" i="21"/>
  <c r="P75" i="21"/>
  <c r="X75" i="21" s="1"/>
  <c r="H75" i="21"/>
  <c r="D75" i="21"/>
  <c r="L75" i="21" s="1"/>
  <c r="N75" i="21" s="1"/>
  <c r="B75" i="21"/>
  <c r="X74" i="21"/>
  <c r="Z74" i="21" s="1"/>
  <c r="L74" i="21"/>
  <c r="N74" i="21" s="1"/>
  <c r="B74" i="21"/>
  <c r="T73" i="21"/>
  <c r="P73" i="21"/>
  <c r="X73" i="21" s="1"/>
  <c r="Z73" i="21" s="1"/>
  <c r="N73" i="21"/>
  <c r="H73" i="21"/>
  <c r="L73" i="21" s="1"/>
  <c r="D73" i="21"/>
  <c r="B73" i="21"/>
  <c r="Z72" i="21"/>
  <c r="X72" i="21"/>
  <c r="N72" i="21"/>
  <c r="L72" i="21"/>
  <c r="B72" i="21"/>
  <c r="Z71" i="21"/>
  <c r="X71" i="21"/>
  <c r="N71" i="21"/>
  <c r="L71" i="21"/>
  <c r="B71" i="21"/>
  <c r="X70" i="21"/>
  <c r="Z70" i="21" s="1"/>
  <c r="L70" i="21"/>
  <c r="N70" i="21" s="1"/>
  <c r="B70" i="21"/>
  <c r="X69" i="21"/>
  <c r="Z69" i="21" s="1"/>
  <c r="N69" i="21"/>
  <c r="L69" i="21"/>
  <c r="B69" i="21"/>
  <c r="X68" i="21"/>
  <c r="Z68" i="21" s="1"/>
  <c r="N68" i="21"/>
  <c r="L68" i="21"/>
  <c r="B68" i="21"/>
  <c r="T67" i="21"/>
  <c r="P67" i="21"/>
  <c r="H67" i="21"/>
  <c r="D67" i="21"/>
  <c r="L67" i="21" s="1"/>
  <c r="N67" i="21" s="1"/>
  <c r="B67" i="21"/>
  <c r="Z66" i="21"/>
  <c r="X66" i="21"/>
  <c r="N66" i="21"/>
  <c r="L66" i="21"/>
  <c r="B66" i="21"/>
  <c r="X65" i="21"/>
  <c r="Z65" i="21" s="1"/>
  <c r="N65" i="21"/>
  <c r="L65" i="21"/>
  <c r="B65" i="21"/>
  <c r="X64" i="21"/>
  <c r="Z64" i="21" s="1"/>
  <c r="N64" i="21"/>
  <c r="L64" i="21"/>
  <c r="B64" i="21"/>
  <c r="T63" i="21"/>
  <c r="P63" i="21"/>
  <c r="X63" i="21" s="1"/>
  <c r="H63" i="21"/>
  <c r="D63" i="21"/>
  <c r="L63" i="21" s="1"/>
  <c r="N63" i="21" s="1"/>
  <c r="B63" i="21"/>
  <c r="X62" i="21"/>
  <c r="Z62" i="21" s="1"/>
  <c r="N62" i="21"/>
  <c r="L62" i="21"/>
  <c r="B62" i="21"/>
  <c r="X61" i="21"/>
  <c r="Z61" i="21" s="1"/>
  <c r="L61" i="21"/>
  <c r="N61" i="21" s="1"/>
  <c r="B61" i="21"/>
  <c r="T60" i="21"/>
  <c r="P60" i="21"/>
  <c r="X60" i="21" s="1"/>
  <c r="Z60" i="21" s="1"/>
  <c r="H60" i="21"/>
  <c r="D60" i="21"/>
  <c r="B60" i="21"/>
  <c r="Z59" i="21"/>
  <c r="X59" i="21"/>
  <c r="N59" i="21"/>
  <c r="L59" i="21"/>
  <c r="B59" i="21"/>
  <c r="T58" i="21"/>
  <c r="P58" i="21"/>
  <c r="N58" i="21"/>
  <c r="L58" i="21"/>
  <c r="H58" i="21"/>
  <c r="D58" i="21"/>
  <c r="B58" i="21"/>
  <c r="X57" i="21"/>
  <c r="Z57" i="21" s="1"/>
  <c r="L57" i="21"/>
  <c r="N57" i="21" s="1"/>
  <c r="B57" i="21"/>
  <c r="Z56" i="21"/>
  <c r="X56" i="21"/>
  <c r="T56" i="21"/>
  <c r="P56" i="21"/>
  <c r="H56" i="21"/>
  <c r="D56" i="21"/>
  <c r="L56" i="21" s="1"/>
  <c r="B56" i="21"/>
  <c r="Z55" i="21"/>
  <c r="X55" i="21"/>
  <c r="N55" i="21"/>
  <c r="L55" i="21"/>
  <c r="B55" i="21"/>
  <c r="T54" i="21"/>
  <c r="P54" i="21"/>
  <c r="N54" i="21"/>
  <c r="H54" i="21"/>
  <c r="D54" i="21"/>
  <c r="L54" i="21" s="1"/>
  <c r="B54" i="21"/>
  <c r="X53" i="21"/>
  <c r="Z53" i="21" s="1"/>
  <c r="L53" i="21"/>
  <c r="N53" i="21" s="1"/>
  <c r="B53" i="21"/>
  <c r="T52" i="21"/>
  <c r="P52" i="21"/>
  <c r="X52" i="21" s="1"/>
  <c r="Z52" i="21" s="1"/>
  <c r="H52" i="21"/>
  <c r="D52" i="21"/>
  <c r="B52" i="21"/>
  <c r="Z51" i="21"/>
  <c r="X51" i="21"/>
  <c r="N51" i="21"/>
  <c r="L51" i="21"/>
  <c r="B51" i="21"/>
  <c r="X50" i="21"/>
  <c r="Z50" i="21" s="1"/>
  <c r="L50" i="21"/>
  <c r="N50" i="21" s="1"/>
  <c r="B50" i="21"/>
  <c r="T49" i="21"/>
  <c r="P49" i="21"/>
  <c r="X49" i="21" s="1"/>
  <c r="Z49" i="21" s="1"/>
  <c r="H49" i="21"/>
  <c r="L49" i="21" s="1"/>
  <c r="N49" i="21" s="1"/>
  <c r="D49" i="21"/>
  <c r="B49" i="21"/>
  <c r="X48" i="21"/>
  <c r="Z48" i="21" s="1"/>
  <c r="L48" i="21"/>
  <c r="N48" i="21" s="1"/>
  <c r="B48" i="21"/>
  <c r="T47" i="21"/>
  <c r="X47" i="21" s="1"/>
  <c r="Z47" i="21" s="1"/>
  <c r="P47" i="21"/>
  <c r="L47" i="21"/>
  <c r="H47" i="21"/>
  <c r="N47" i="21" s="1"/>
  <c r="D47" i="21"/>
  <c r="B47" i="21"/>
  <c r="X46" i="21"/>
  <c r="Z46" i="21" s="1"/>
  <c r="L46" i="21"/>
  <c r="N46" i="21" s="1"/>
  <c r="B46" i="21"/>
  <c r="X45" i="21"/>
  <c r="T45" i="21"/>
  <c r="P45" i="21"/>
  <c r="H45" i="21"/>
  <c r="D45" i="21"/>
  <c r="B45" i="21"/>
  <c r="Z44" i="21"/>
  <c r="X44" i="21"/>
  <c r="N44" i="21"/>
  <c r="L44" i="21"/>
  <c r="B44" i="21"/>
  <c r="T43" i="21"/>
  <c r="Z43" i="21" s="1"/>
  <c r="P43" i="21"/>
  <c r="N43" i="21"/>
  <c r="H43" i="21"/>
  <c r="D43" i="21"/>
  <c r="L43" i="21" s="1"/>
  <c r="B43" i="21"/>
  <c r="X42" i="21"/>
  <c r="Z42" i="21" s="1"/>
  <c r="N42" i="21"/>
  <c r="L42" i="21"/>
  <c r="B42" i="21"/>
  <c r="X41" i="21"/>
  <c r="Z41" i="21" s="1"/>
  <c r="L41" i="21"/>
  <c r="N41" i="21" s="1"/>
  <c r="B41" i="21"/>
  <c r="X40" i="21"/>
  <c r="Z40" i="21" s="1"/>
  <c r="L40" i="21"/>
  <c r="N40" i="21" s="1"/>
  <c r="B40" i="21"/>
  <c r="T39" i="21"/>
  <c r="P39" i="21"/>
  <c r="X39" i="21" s="1"/>
  <c r="H39" i="21"/>
  <c r="D39" i="21"/>
  <c r="L39" i="21" s="1"/>
  <c r="N39" i="21" s="1"/>
  <c r="B39" i="21"/>
  <c r="X38" i="21"/>
  <c r="Z38" i="21" s="1"/>
  <c r="N38" i="21"/>
  <c r="L38" i="21"/>
  <c r="B38" i="21"/>
  <c r="X37" i="21"/>
  <c r="Z37" i="21" s="1"/>
  <c r="L37" i="21"/>
  <c r="N37" i="21" s="1"/>
  <c r="B37" i="21"/>
  <c r="X36" i="21"/>
  <c r="Z36" i="21" s="1"/>
  <c r="L36" i="21"/>
  <c r="N36" i="21" s="1"/>
  <c r="B36" i="21"/>
  <c r="Z35" i="21"/>
  <c r="X35" i="21"/>
  <c r="N35" i="21"/>
  <c r="L35" i="21"/>
  <c r="B35" i="21"/>
  <c r="Z34" i="21"/>
  <c r="X34" i="21"/>
  <c r="L34" i="21"/>
  <c r="N34" i="21" s="1"/>
  <c r="B34" i="21"/>
  <c r="X33" i="21"/>
  <c r="Z33" i="21" s="1"/>
  <c r="L33" i="21"/>
  <c r="N33" i="21" s="1"/>
  <c r="B33" i="21"/>
  <c r="Z32" i="21"/>
  <c r="X32" i="21"/>
  <c r="L32" i="21"/>
  <c r="N32" i="21" s="1"/>
  <c r="B32" i="21"/>
  <c r="Z31" i="21"/>
  <c r="X31" i="21"/>
  <c r="N31" i="21"/>
  <c r="L31" i="21"/>
  <c r="B31" i="21"/>
  <c r="T30" i="21"/>
  <c r="P30" i="21"/>
  <c r="N30" i="21"/>
  <c r="L30" i="21"/>
  <c r="H30" i="21"/>
  <c r="D30" i="21"/>
  <c r="B30" i="21"/>
  <c r="X29" i="21"/>
  <c r="T29" i="21"/>
  <c r="Z29" i="21" s="1"/>
  <c r="P29" i="21"/>
  <c r="H29" i="21"/>
  <c r="D29" i="21"/>
  <c r="X25" i="21"/>
  <c r="Z25" i="21" s="1"/>
  <c r="N25" i="21"/>
  <c r="L25" i="21"/>
  <c r="B25" i="21"/>
  <c r="Z24" i="21"/>
  <c r="X24" i="21"/>
  <c r="N24" i="21"/>
  <c r="L24" i="21"/>
  <c r="B24" i="21"/>
  <c r="T23" i="21"/>
  <c r="X23" i="21" s="1"/>
  <c r="Z23" i="21" s="1"/>
  <c r="P23" i="21"/>
  <c r="L23" i="21"/>
  <c r="H23" i="21"/>
  <c r="D23" i="21"/>
  <c r="T21" i="21"/>
  <c r="P21" i="21"/>
  <c r="X21" i="21" s="1"/>
  <c r="Z21" i="21" s="1"/>
  <c r="N21" i="21"/>
  <c r="H21" i="21"/>
  <c r="D21" i="21"/>
  <c r="L21" i="21" s="1"/>
  <c r="B21" i="21"/>
  <c r="T20" i="21"/>
  <c r="Z20" i="21" s="1"/>
  <c r="P20" i="21"/>
  <c r="X20" i="21" s="1"/>
  <c r="H20" i="21"/>
  <c r="N20" i="21" s="1"/>
  <c r="D20" i="21"/>
  <c r="L20" i="21" s="1"/>
  <c r="B20" i="21"/>
  <c r="X19" i="21"/>
  <c r="T19" i="21"/>
  <c r="Z19" i="21" s="1"/>
  <c r="P19" i="21"/>
  <c r="L19" i="21"/>
  <c r="H19" i="21"/>
  <c r="N19" i="21" s="1"/>
  <c r="D19" i="21"/>
  <c r="B19" i="21"/>
  <c r="X18" i="21"/>
  <c r="Z18" i="21" s="1"/>
  <c r="T18" i="21"/>
  <c r="P18" i="21"/>
  <c r="N18" i="21"/>
  <c r="L18" i="21"/>
  <c r="H18" i="21"/>
  <c r="D18" i="21"/>
  <c r="B18" i="21"/>
  <c r="Z17" i="21"/>
  <c r="T17" i="21"/>
  <c r="P17" i="21"/>
  <c r="X17" i="21" s="1"/>
  <c r="N17" i="21"/>
  <c r="H17" i="21"/>
  <c r="D17" i="21"/>
  <c r="L17" i="21" s="1"/>
  <c r="B17" i="21"/>
  <c r="T16" i="21"/>
  <c r="Z16" i="21" s="1"/>
  <c r="P16" i="21"/>
  <c r="X16" i="21" s="1"/>
  <c r="H16" i="21"/>
  <c r="N16" i="21" s="1"/>
  <c r="D16" i="21"/>
  <c r="B16" i="21"/>
  <c r="X15" i="21"/>
  <c r="T15" i="21"/>
  <c r="Z15" i="21" s="1"/>
  <c r="P15" i="21"/>
  <c r="H15" i="21"/>
  <c r="D15" i="21"/>
  <c r="B15" i="21"/>
  <c r="Z14" i="21"/>
  <c r="X14" i="21"/>
  <c r="T14" i="21"/>
  <c r="P14" i="21"/>
  <c r="L14" i="21"/>
  <c r="N14" i="21" s="1"/>
  <c r="H14" i="21"/>
  <c r="D14" i="21"/>
  <c r="B14" i="21"/>
  <c r="Z13" i="21"/>
  <c r="T13" i="21"/>
  <c r="P13" i="21"/>
  <c r="X13" i="21" s="1"/>
  <c r="N13" i="21"/>
  <c r="H13" i="21"/>
  <c r="D13" i="21"/>
  <c r="L13" i="21" s="1"/>
  <c r="B13" i="21"/>
  <c r="P12" i="21"/>
  <c r="R60" i="21" s="1"/>
  <c r="D4" i="21"/>
  <c r="B39" i="20"/>
  <c r="B38" i="20"/>
  <c r="T34" i="20"/>
  <c r="Z34" i="20" s="1"/>
  <c r="P34" i="20"/>
  <c r="H34" i="20"/>
  <c r="N34" i="20" s="1"/>
  <c r="D34" i="20"/>
  <c r="T33" i="20"/>
  <c r="P33" i="20"/>
  <c r="H33" i="20"/>
  <c r="N33" i="20" s="1"/>
  <c r="D33" i="20"/>
  <c r="T29" i="20"/>
  <c r="Z29" i="20" s="1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N22" i="20" s="1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V24" i="20" s="1"/>
  <c r="P12" i="20"/>
  <c r="R34" i="20" s="1"/>
  <c r="H12" i="20"/>
  <c r="J22" i="20" s="1"/>
  <c r="D12" i="20"/>
  <c r="F18" i="20" s="1"/>
  <c r="D5" i="20"/>
  <c r="D4" i="20"/>
  <c r="B39" i="19"/>
  <c r="B38" i="19"/>
  <c r="T34" i="19"/>
  <c r="Z34" i="19" s="1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N22" i="19" s="1"/>
  <c r="D22" i="19"/>
  <c r="B22" i="19"/>
  <c r="T21" i="19"/>
  <c r="Z21" i="19" s="1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Z15" i="19" s="1"/>
  <c r="P15" i="19"/>
  <c r="H15" i="19"/>
  <c r="N15" i="19" s="1"/>
  <c r="D15" i="19"/>
  <c r="T13" i="19"/>
  <c r="Z13" i="19" s="1"/>
  <c r="P13" i="19"/>
  <c r="H13" i="19"/>
  <c r="N13" i="19" s="1"/>
  <c r="D13" i="19"/>
  <c r="B13" i="19"/>
  <c r="T12" i="19"/>
  <c r="V33" i="19" s="1"/>
  <c r="P12" i="19"/>
  <c r="R21" i="19" s="1"/>
  <c r="H12" i="19"/>
  <c r="J36" i="19" s="1"/>
  <c r="D12" i="19"/>
  <c r="F29" i="19" s="1"/>
  <c r="D5" i="19"/>
  <c r="D4" i="19"/>
  <c r="Z230" i="18"/>
  <c r="X230" i="18"/>
  <c r="N230" i="18"/>
  <c r="L230" i="18"/>
  <c r="T226" i="18"/>
  <c r="P226" i="18"/>
  <c r="H226" i="18"/>
  <c r="N226" i="18" s="1"/>
  <c r="D226" i="18"/>
  <c r="L226" i="18" s="1"/>
  <c r="B226" i="18"/>
  <c r="T225" i="18"/>
  <c r="P225" i="18"/>
  <c r="N225" i="18"/>
  <c r="L225" i="18"/>
  <c r="H225" i="18"/>
  <c r="D225" i="18"/>
  <c r="B225" i="18"/>
  <c r="X224" i="18"/>
  <c r="T224" i="18"/>
  <c r="P224" i="18"/>
  <c r="H224" i="18"/>
  <c r="D224" i="18"/>
  <c r="B224" i="18"/>
  <c r="Z223" i="18"/>
  <c r="T223" i="18"/>
  <c r="P223" i="18"/>
  <c r="X223" i="18" s="1"/>
  <c r="H223" i="18"/>
  <c r="D223" i="18"/>
  <c r="B223" i="18"/>
  <c r="Z222" i="18"/>
  <c r="T222" i="18"/>
  <c r="P222" i="18"/>
  <c r="H222" i="18"/>
  <c r="N222" i="18" s="1"/>
  <c r="D222" i="18"/>
  <c r="L222" i="18" s="1"/>
  <c r="B222" i="18"/>
  <c r="T221" i="18"/>
  <c r="P221" i="18"/>
  <c r="H221" i="18"/>
  <c r="D221" i="18"/>
  <c r="B221" i="18"/>
  <c r="P220" i="18"/>
  <c r="X218" i="18"/>
  <c r="Z218" i="18" s="1"/>
  <c r="L218" i="18"/>
  <c r="N218" i="18" s="1"/>
  <c r="B218" i="18"/>
  <c r="Z217" i="18"/>
  <c r="X217" i="18"/>
  <c r="T217" i="18"/>
  <c r="P217" i="18"/>
  <c r="H217" i="18"/>
  <c r="D217" i="18"/>
  <c r="B217" i="18"/>
  <c r="Z216" i="18"/>
  <c r="X216" i="18"/>
  <c r="N216" i="18"/>
  <c r="L216" i="18"/>
  <c r="B216" i="18"/>
  <c r="X215" i="18"/>
  <c r="Z215" i="18" s="1"/>
  <c r="N215" i="18"/>
  <c r="L215" i="18"/>
  <c r="B215" i="18"/>
  <c r="X214" i="18"/>
  <c r="Z214" i="18" s="1"/>
  <c r="N214" i="18"/>
  <c r="L214" i="18"/>
  <c r="B214" i="18"/>
  <c r="Z213" i="18"/>
  <c r="X213" i="18"/>
  <c r="T213" i="18"/>
  <c r="P213" i="18"/>
  <c r="H213" i="18"/>
  <c r="D213" i="18"/>
  <c r="B213" i="18"/>
  <c r="Z212" i="18"/>
  <c r="X212" i="18"/>
  <c r="N212" i="18"/>
  <c r="L212" i="18"/>
  <c r="B212" i="18"/>
  <c r="T211" i="18"/>
  <c r="P211" i="18"/>
  <c r="N211" i="18"/>
  <c r="L211" i="18"/>
  <c r="H211" i="18"/>
  <c r="D211" i="18"/>
  <c r="B211" i="18"/>
  <c r="X210" i="18"/>
  <c r="Z210" i="18" s="1"/>
  <c r="L210" i="18"/>
  <c r="N210" i="18" s="1"/>
  <c r="B210" i="18"/>
  <c r="Z209" i="18"/>
  <c r="X209" i="18"/>
  <c r="N209" i="18"/>
  <c r="L209" i="18"/>
  <c r="B209" i="18"/>
  <c r="T208" i="18"/>
  <c r="X208" i="18" s="1"/>
  <c r="P208" i="18"/>
  <c r="H208" i="18"/>
  <c r="D208" i="18"/>
  <c r="L208" i="18" s="1"/>
  <c r="N208" i="18" s="1"/>
  <c r="B208" i="18"/>
  <c r="X207" i="18"/>
  <c r="Z207" i="18" s="1"/>
  <c r="L207" i="18"/>
  <c r="N207" i="18" s="1"/>
  <c r="B207" i="18"/>
  <c r="X206" i="18"/>
  <c r="Z206" i="18" s="1"/>
  <c r="L206" i="18"/>
  <c r="N206" i="18" s="1"/>
  <c r="B206" i="18"/>
  <c r="Z205" i="18"/>
  <c r="X205" i="18"/>
  <c r="N205" i="18"/>
  <c r="L205" i="18"/>
  <c r="B205" i="18"/>
  <c r="Z204" i="18"/>
  <c r="X204" i="18"/>
  <c r="N204" i="18"/>
  <c r="L204" i="18"/>
  <c r="B204" i="18"/>
  <c r="X203" i="18"/>
  <c r="Z203" i="18" s="1"/>
  <c r="N203" i="18"/>
  <c r="L203" i="18"/>
  <c r="B203" i="18"/>
  <c r="X202" i="18"/>
  <c r="Z202" i="18" s="1"/>
  <c r="L202" i="18"/>
  <c r="N202" i="18" s="1"/>
  <c r="B202" i="18"/>
  <c r="X201" i="18"/>
  <c r="Z201" i="18" s="1"/>
  <c r="T201" i="18"/>
  <c r="P201" i="18"/>
  <c r="H201" i="18"/>
  <c r="D201" i="18"/>
  <c r="L201" i="18" s="1"/>
  <c r="B201" i="18"/>
  <c r="Z200" i="18"/>
  <c r="X200" i="18"/>
  <c r="N200" i="18"/>
  <c r="L200" i="18"/>
  <c r="B200" i="18"/>
  <c r="X199" i="18"/>
  <c r="Z199" i="18" s="1"/>
  <c r="L199" i="18"/>
  <c r="N199" i="18" s="1"/>
  <c r="B199" i="18"/>
  <c r="X198" i="18"/>
  <c r="Z198" i="18" s="1"/>
  <c r="T198" i="18"/>
  <c r="P198" i="18"/>
  <c r="N198" i="18"/>
  <c r="H198" i="18"/>
  <c r="L198" i="18" s="1"/>
  <c r="D198" i="18"/>
  <c r="B198" i="18"/>
  <c r="X197" i="18"/>
  <c r="Z197" i="18" s="1"/>
  <c r="L197" i="18"/>
  <c r="N197" i="18" s="1"/>
  <c r="B197" i="18"/>
  <c r="Z196" i="18"/>
  <c r="X196" i="18"/>
  <c r="N196" i="18"/>
  <c r="L196" i="18"/>
  <c r="B196" i="18"/>
  <c r="Z195" i="18"/>
  <c r="X195" i="18"/>
  <c r="N195" i="18"/>
  <c r="L195" i="18"/>
  <c r="B195" i="18"/>
  <c r="X194" i="18"/>
  <c r="Z194" i="18" s="1"/>
  <c r="L194" i="18"/>
  <c r="N194" i="18" s="1"/>
  <c r="B194" i="18"/>
  <c r="X193" i="18"/>
  <c r="Z193" i="18" s="1"/>
  <c r="T193" i="18"/>
  <c r="P193" i="18"/>
  <c r="H193" i="18"/>
  <c r="D193" i="18"/>
  <c r="L193" i="18" s="1"/>
  <c r="B193" i="18"/>
  <c r="Z192" i="18"/>
  <c r="X192" i="18"/>
  <c r="N192" i="18"/>
  <c r="L192" i="18"/>
  <c r="B192" i="18"/>
  <c r="Z191" i="18"/>
  <c r="X191" i="18"/>
  <c r="N191" i="18"/>
  <c r="L191" i="18"/>
  <c r="B191" i="18"/>
  <c r="X190" i="18"/>
  <c r="Z190" i="18" s="1"/>
  <c r="N190" i="18"/>
  <c r="L190" i="18"/>
  <c r="B190" i="18"/>
  <c r="X189" i="18"/>
  <c r="Z189" i="18" s="1"/>
  <c r="T189" i="18"/>
  <c r="P189" i="18"/>
  <c r="H189" i="18"/>
  <c r="D189" i="18"/>
  <c r="B189" i="18"/>
  <c r="Z188" i="18"/>
  <c r="X188" i="18"/>
  <c r="N188" i="18"/>
  <c r="L188" i="18"/>
  <c r="B188" i="18"/>
  <c r="Z187" i="18"/>
  <c r="X187" i="18"/>
  <c r="L187" i="18"/>
  <c r="N187" i="18" s="1"/>
  <c r="B187" i="18"/>
  <c r="X186" i="18"/>
  <c r="Z186" i="18" s="1"/>
  <c r="L186" i="18"/>
  <c r="N186" i="18" s="1"/>
  <c r="B186" i="18"/>
  <c r="X185" i="18"/>
  <c r="Z185" i="18" s="1"/>
  <c r="N185" i="18"/>
  <c r="L185" i="18"/>
  <c r="B185" i="18"/>
  <c r="T184" i="18"/>
  <c r="P184" i="18"/>
  <c r="L184" i="18"/>
  <c r="N184" i="18" s="1"/>
  <c r="H184" i="18"/>
  <c r="D184" i="18"/>
  <c r="B184" i="18"/>
  <c r="Z183" i="18"/>
  <c r="X183" i="18"/>
  <c r="L183" i="18"/>
  <c r="N183" i="18" s="1"/>
  <c r="B183" i="18"/>
  <c r="T182" i="18"/>
  <c r="P182" i="18"/>
  <c r="X182" i="18" s="1"/>
  <c r="Z182" i="18" s="1"/>
  <c r="H182" i="18"/>
  <c r="L182" i="18" s="1"/>
  <c r="D182" i="18"/>
  <c r="B182" i="18"/>
  <c r="Z181" i="18"/>
  <c r="X181" i="18"/>
  <c r="N181" i="18"/>
  <c r="L181" i="18"/>
  <c r="B181" i="18"/>
  <c r="Z180" i="18"/>
  <c r="X180" i="18"/>
  <c r="N180" i="18"/>
  <c r="L180" i="18"/>
  <c r="B180" i="18"/>
  <c r="T179" i="18"/>
  <c r="P179" i="18"/>
  <c r="H179" i="18"/>
  <c r="D179" i="18"/>
  <c r="L179" i="18" s="1"/>
  <c r="N179" i="18" s="1"/>
  <c r="B179" i="18"/>
  <c r="X178" i="18"/>
  <c r="Z178" i="18" s="1"/>
  <c r="L178" i="18"/>
  <c r="N178" i="18" s="1"/>
  <c r="B178" i="18"/>
  <c r="T177" i="18"/>
  <c r="P177" i="18"/>
  <c r="X177" i="18" s="1"/>
  <c r="Z177" i="18" s="1"/>
  <c r="H177" i="18"/>
  <c r="D177" i="18"/>
  <c r="B177" i="18"/>
  <c r="Z176" i="18"/>
  <c r="X176" i="18"/>
  <c r="N176" i="18"/>
  <c r="L176" i="18"/>
  <c r="B176" i="18"/>
  <c r="T175" i="18"/>
  <c r="P175" i="18"/>
  <c r="N175" i="18"/>
  <c r="L175" i="18"/>
  <c r="H175" i="18"/>
  <c r="D175" i="18"/>
  <c r="B175" i="18"/>
  <c r="X174" i="18"/>
  <c r="Z174" i="18" s="1"/>
  <c r="L174" i="18"/>
  <c r="N174" i="18" s="1"/>
  <c r="B174" i="18"/>
  <c r="X173" i="18"/>
  <c r="Z173" i="18" s="1"/>
  <c r="N173" i="18"/>
  <c r="L173" i="18"/>
  <c r="B173" i="18"/>
  <c r="T172" i="18"/>
  <c r="P172" i="18"/>
  <c r="H172" i="18"/>
  <c r="D172" i="18"/>
  <c r="L172" i="18" s="1"/>
  <c r="N172" i="18" s="1"/>
  <c r="B172" i="18"/>
  <c r="X171" i="18"/>
  <c r="Z171" i="18" s="1"/>
  <c r="L171" i="18"/>
  <c r="N171" i="18" s="1"/>
  <c r="B171" i="18"/>
  <c r="X170" i="18"/>
  <c r="Z170" i="18" s="1"/>
  <c r="T170" i="18"/>
  <c r="P170" i="18"/>
  <c r="H170" i="18"/>
  <c r="D170" i="18"/>
  <c r="B170" i="18"/>
  <c r="Z169" i="18"/>
  <c r="X169" i="18"/>
  <c r="N169" i="18"/>
  <c r="L169" i="18"/>
  <c r="B169" i="18"/>
  <c r="T168" i="18"/>
  <c r="X168" i="18" s="1"/>
  <c r="P168" i="18"/>
  <c r="H168" i="18"/>
  <c r="N168" i="18" s="1"/>
  <c r="D168" i="18"/>
  <c r="L168" i="18" s="1"/>
  <c r="B168" i="18"/>
  <c r="Z167" i="18"/>
  <c r="X167" i="18"/>
  <c r="N167" i="18"/>
  <c r="L167" i="18"/>
  <c r="B167" i="18"/>
  <c r="X166" i="18"/>
  <c r="Z166" i="18" s="1"/>
  <c r="L166" i="18"/>
  <c r="N166" i="18" s="1"/>
  <c r="B166" i="18"/>
  <c r="T165" i="18"/>
  <c r="P165" i="18"/>
  <c r="X165" i="18" s="1"/>
  <c r="Z165" i="18" s="1"/>
  <c r="H165" i="18"/>
  <c r="D165" i="18"/>
  <c r="L165" i="18" s="1"/>
  <c r="B165" i="18"/>
  <c r="Z164" i="18"/>
  <c r="X164" i="18"/>
  <c r="N164" i="18"/>
  <c r="L164" i="18"/>
  <c r="B164" i="18"/>
  <c r="X163" i="18"/>
  <c r="Z163" i="18" s="1"/>
  <c r="L163" i="18"/>
  <c r="N163" i="18" s="1"/>
  <c r="B163" i="18"/>
  <c r="T162" i="18"/>
  <c r="P162" i="18"/>
  <c r="X162" i="18" s="1"/>
  <c r="H162" i="18"/>
  <c r="D162" i="18"/>
  <c r="B162" i="18"/>
  <c r="Z161" i="18"/>
  <c r="X161" i="18"/>
  <c r="L161" i="18"/>
  <c r="N161" i="18" s="1"/>
  <c r="B161" i="18"/>
  <c r="T160" i="18"/>
  <c r="P160" i="18"/>
  <c r="X160" i="18" s="1"/>
  <c r="Z160" i="18" s="1"/>
  <c r="H160" i="18"/>
  <c r="D160" i="18"/>
  <c r="L160" i="18" s="1"/>
  <c r="B160" i="18"/>
  <c r="X159" i="18"/>
  <c r="Z159" i="18" s="1"/>
  <c r="N159" i="18"/>
  <c r="L159" i="18"/>
  <c r="B159" i="18"/>
  <c r="T158" i="18"/>
  <c r="P158" i="18"/>
  <c r="X158" i="18" s="1"/>
  <c r="H158" i="18"/>
  <c r="D158" i="18"/>
  <c r="B158" i="18"/>
  <c r="X157" i="18"/>
  <c r="Z157" i="18" s="1"/>
  <c r="L157" i="18"/>
  <c r="N157" i="18" s="1"/>
  <c r="B157" i="18"/>
  <c r="Z156" i="18"/>
  <c r="T156" i="18"/>
  <c r="P156" i="18"/>
  <c r="X156" i="18" s="1"/>
  <c r="L156" i="18"/>
  <c r="H156" i="18"/>
  <c r="D156" i="18"/>
  <c r="B156" i="18"/>
  <c r="Z155" i="18"/>
  <c r="X155" i="18"/>
  <c r="N155" i="18"/>
  <c r="L155" i="18"/>
  <c r="B155" i="18"/>
  <c r="X154" i="18"/>
  <c r="Z154" i="18" s="1"/>
  <c r="L154" i="18"/>
  <c r="N154" i="18" s="1"/>
  <c r="B154" i="18"/>
  <c r="Z153" i="18"/>
  <c r="X153" i="18"/>
  <c r="N153" i="18"/>
  <c r="L153" i="18"/>
  <c r="B153" i="18"/>
  <c r="Z152" i="18"/>
  <c r="X152" i="18"/>
  <c r="N152" i="18"/>
  <c r="L152" i="18"/>
  <c r="B152" i="18"/>
  <c r="Z151" i="18"/>
  <c r="X151" i="18"/>
  <c r="N151" i="18"/>
  <c r="L151" i="18"/>
  <c r="B151" i="18"/>
  <c r="X150" i="18"/>
  <c r="Z150" i="18" s="1"/>
  <c r="L150" i="18"/>
  <c r="N150" i="18" s="1"/>
  <c r="B150" i="18"/>
  <c r="X149" i="18"/>
  <c r="Z149" i="18" s="1"/>
  <c r="L149" i="18"/>
  <c r="N149" i="18" s="1"/>
  <c r="B149" i="18"/>
  <c r="T148" i="18"/>
  <c r="X148" i="18" s="1"/>
  <c r="P148" i="18"/>
  <c r="H148" i="18"/>
  <c r="N148" i="18" s="1"/>
  <c r="D148" i="18"/>
  <c r="L148" i="18" s="1"/>
  <c r="B148" i="18"/>
  <c r="Z147" i="18"/>
  <c r="X147" i="18"/>
  <c r="N147" i="18"/>
  <c r="L147" i="18"/>
  <c r="B147" i="18"/>
  <c r="X146" i="18"/>
  <c r="Z146" i="18" s="1"/>
  <c r="L146" i="18"/>
  <c r="N146" i="18" s="1"/>
  <c r="B146" i="18"/>
  <c r="X145" i="18"/>
  <c r="Z145" i="18" s="1"/>
  <c r="N145" i="18"/>
  <c r="L145" i="18"/>
  <c r="B145" i="18"/>
  <c r="Z144" i="18"/>
  <c r="X144" i="18"/>
  <c r="N144" i="18"/>
  <c r="L144" i="18"/>
  <c r="B144" i="18"/>
  <c r="Z143" i="18"/>
  <c r="X143" i="18"/>
  <c r="N143" i="18"/>
  <c r="L143" i="18"/>
  <c r="B143" i="18"/>
  <c r="X142" i="18"/>
  <c r="Z142" i="18" s="1"/>
  <c r="L142" i="18"/>
  <c r="N142" i="18" s="1"/>
  <c r="B142" i="18"/>
  <c r="Z141" i="18"/>
  <c r="X141" i="18"/>
  <c r="L141" i="18"/>
  <c r="N141" i="18" s="1"/>
  <c r="B141" i="18"/>
  <c r="Z140" i="18"/>
  <c r="X140" i="18"/>
  <c r="N140" i="18"/>
  <c r="L140" i="18"/>
  <c r="B140" i="18"/>
  <c r="X139" i="18"/>
  <c r="Z139" i="18" s="1"/>
  <c r="N139" i="18"/>
  <c r="L139" i="18"/>
  <c r="B139" i="18"/>
  <c r="X138" i="18"/>
  <c r="Z138" i="18" s="1"/>
  <c r="L138" i="18"/>
  <c r="N138" i="18" s="1"/>
  <c r="B138" i="18"/>
  <c r="T137" i="18"/>
  <c r="P137" i="18"/>
  <c r="X137" i="18" s="1"/>
  <c r="Z137" i="18" s="1"/>
  <c r="H137" i="18"/>
  <c r="D137" i="18"/>
  <c r="L137" i="18" s="1"/>
  <c r="B137" i="18"/>
  <c r="T136" i="18"/>
  <c r="Z136" i="18" s="1"/>
  <c r="P136" i="18"/>
  <c r="X136" i="18" s="1"/>
  <c r="H136" i="18"/>
  <c r="D136" i="18"/>
  <c r="L136" i="18" s="1"/>
  <c r="Z132" i="18"/>
  <c r="X132" i="18"/>
  <c r="N132" i="18"/>
  <c r="L132" i="18"/>
  <c r="B132" i="18"/>
  <c r="Z131" i="18"/>
  <c r="X131" i="18"/>
  <c r="N131" i="18"/>
  <c r="L131" i="18"/>
  <c r="B131" i="18"/>
  <c r="X130" i="18"/>
  <c r="Z130" i="18" s="1"/>
  <c r="L130" i="18"/>
  <c r="N130" i="18" s="1"/>
  <c r="B130" i="18"/>
  <c r="Z129" i="18"/>
  <c r="X129" i="18"/>
  <c r="L129" i="18"/>
  <c r="N129" i="18" s="1"/>
  <c r="B129" i="18"/>
  <c r="Z128" i="18"/>
  <c r="X128" i="18"/>
  <c r="N128" i="18"/>
  <c r="L128" i="18"/>
  <c r="B128" i="18"/>
  <c r="Z127" i="18"/>
  <c r="X127" i="18"/>
  <c r="N127" i="18"/>
  <c r="L127" i="18"/>
  <c r="B127" i="18"/>
  <c r="X126" i="18"/>
  <c r="Z126" i="18" s="1"/>
  <c r="L126" i="18"/>
  <c r="N126" i="18" s="1"/>
  <c r="B126" i="18"/>
  <c r="X125" i="18"/>
  <c r="Z125" i="18" s="1"/>
  <c r="N125" i="18"/>
  <c r="L125" i="18"/>
  <c r="B125" i="18"/>
  <c r="Z124" i="18"/>
  <c r="X124" i="18"/>
  <c r="N124" i="18"/>
  <c r="L124" i="18"/>
  <c r="B124" i="18"/>
  <c r="Z123" i="18"/>
  <c r="X123" i="18"/>
  <c r="N123" i="18"/>
  <c r="L123" i="18"/>
  <c r="B123" i="18"/>
  <c r="X122" i="18"/>
  <c r="Z122" i="18" s="1"/>
  <c r="L122" i="18"/>
  <c r="N122" i="18" s="1"/>
  <c r="B122" i="18"/>
  <c r="Z121" i="18"/>
  <c r="X121" i="18"/>
  <c r="N121" i="18"/>
  <c r="L121" i="18"/>
  <c r="B121" i="18"/>
  <c r="Z120" i="18"/>
  <c r="X120" i="18"/>
  <c r="N120" i="18"/>
  <c r="L120" i="18"/>
  <c r="B120" i="18"/>
  <c r="Z119" i="18"/>
  <c r="X119" i="18"/>
  <c r="N119" i="18"/>
  <c r="L119" i="18"/>
  <c r="B119" i="18"/>
  <c r="X118" i="18"/>
  <c r="Z118" i="18" s="1"/>
  <c r="L118" i="18"/>
  <c r="N118" i="18" s="1"/>
  <c r="B118" i="18"/>
  <c r="Z117" i="18"/>
  <c r="X117" i="18"/>
  <c r="N117" i="18"/>
  <c r="L117" i="18"/>
  <c r="B117" i="18"/>
  <c r="Z116" i="18"/>
  <c r="X116" i="18"/>
  <c r="N116" i="18"/>
  <c r="L116" i="18"/>
  <c r="B116" i="18"/>
  <c r="Z115" i="18"/>
  <c r="X115" i="18"/>
  <c r="N115" i="18"/>
  <c r="L115" i="18"/>
  <c r="B115" i="18"/>
  <c r="X114" i="18"/>
  <c r="Z114" i="18" s="1"/>
  <c r="L114" i="18"/>
  <c r="N114" i="18" s="1"/>
  <c r="B114" i="18"/>
  <c r="Z113" i="18"/>
  <c r="X113" i="18"/>
  <c r="N113" i="18"/>
  <c r="L113" i="18"/>
  <c r="B113" i="18"/>
  <c r="Z112" i="18"/>
  <c r="X112" i="18"/>
  <c r="N112" i="18"/>
  <c r="L112" i="18"/>
  <c r="B112" i="18"/>
  <c r="Z111" i="18"/>
  <c r="X111" i="18"/>
  <c r="N111" i="18"/>
  <c r="L111" i="18"/>
  <c r="B111" i="18"/>
  <c r="X110" i="18"/>
  <c r="Z110" i="18" s="1"/>
  <c r="L110" i="18"/>
  <c r="N110" i="18" s="1"/>
  <c r="B110" i="18"/>
  <c r="X109" i="18"/>
  <c r="Z109" i="18" s="1"/>
  <c r="N109" i="18"/>
  <c r="L109" i="18"/>
  <c r="B109" i="18"/>
  <c r="Z108" i="18"/>
  <c r="X108" i="18"/>
  <c r="N108" i="18"/>
  <c r="L108" i="18"/>
  <c r="B108" i="18"/>
  <c r="Z107" i="18"/>
  <c r="X107" i="18"/>
  <c r="N107" i="18"/>
  <c r="L107" i="18"/>
  <c r="B107" i="18"/>
  <c r="Z106" i="18"/>
  <c r="X106" i="18"/>
  <c r="N106" i="18"/>
  <c r="L106" i="18"/>
  <c r="B106" i="18"/>
  <c r="Z105" i="18"/>
  <c r="X105" i="18"/>
  <c r="N105" i="18"/>
  <c r="L105" i="18"/>
  <c r="B105" i="18"/>
  <c r="Z104" i="18"/>
  <c r="X104" i="18"/>
  <c r="N104" i="18"/>
  <c r="L104" i="18"/>
  <c r="B104" i="18"/>
  <c r="Z103" i="18"/>
  <c r="X103" i="18"/>
  <c r="N103" i="18"/>
  <c r="L103" i="18"/>
  <c r="B103" i="18"/>
  <c r="X102" i="18"/>
  <c r="Z102" i="18" s="1"/>
  <c r="L102" i="18"/>
  <c r="N102" i="18" s="1"/>
  <c r="B102" i="18"/>
  <c r="Z101" i="18"/>
  <c r="X101" i="18"/>
  <c r="L101" i="18"/>
  <c r="N101" i="18" s="1"/>
  <c r="B101" i="18"/>
  <c r="Z100" i="18"/>
  <c r="X100" i="18"/>
  <c r="N100" i="18"/>
  <c r="L100" i="18"/>
  <c r="B100" i="18"/>
  <c r="Z99" i="18"/>
  <c r="X99" i="18"/>
  <c r="N99" i="18"/>
  <c r="L99" i="18"/>
  <c r="B99" i="18"/>
  <c r="Z98" i="18"/>
  <c r="X98" i="18"/>
  <c r="N98" i="18"/>
  <c r="L98" i="18"/>
  <c r="B98" i="18"/>
  <c r="Z97" i="18"/>
  <c r="X97" i="18"/>
  <c r="N97" i="18"/>
  <c r="L97" i="18"/>
  <c r="B97" i="18"/>
  <c r="Z96" i="18"/>
  <c r="X96" i="18"/>
  <c r="N96" i="18"/>
  <c r="L96" i="18"/>
  <c r="B96" i="18"/>
  <c r="Z95" i="18"/>
  <c r="X95" i="18"/>
  <c r="N95" i="18"/>
  <c r="L95" i="18"/>
  <c r="B95" i="18"/>
  <c r="X94" i="18"/>
  <c r="Z94" i="18" s="1"/>
  <c r="L94" i="18"/>
  <c r="N94" i="18" s="1"/>
  <c r="B94" i="18"/>
  <c r="Z93" i="18"/>
  <c r="X93" i="18"/>
  <c r="N93" i="18"/>
  <c r="L93" i="18"/>
  <c r="B93" i="18"/>
  <c r="Z92" i="18"/>
  <c r="X92" i="18"/>
  <c r="N92" i="18"/>
  <c r="L92" i="18"/>
  <c r="B92" i="18"/>
  <c r="Z91" i="18"/>
  <c r="X91" i="18"/>
  <c r="N91" i="18"/>
  <c r="L91" i="18"/>
  <c r="B91" i="18"/>
  <c r="X90" i="18"/>
  <c r="T90" i="18"/>
  <c r="P90" i="18"/>
  <c r="H90" i="18"/>
  <c r="D90" i="18"/>
  <c r="T88" i="18"/>
  <c r="P88" i="18"/>
  <c r="L88" i="18"/>
  <c r="H88" i="18"/>
  <c r="D88" i="18"/>
  <c r="B88" i="18"/>
  <c r="X87" i="18"/>
  <c r="Z87" i="18" s="1"/>
  <c r="T87" i="18"/>
  <c r="P87" i="18"/>
  <c r="N87" i="18"/>
  <c r="L87" i="18"/>
  <c r="H87" i="18"/>
  <c r="D87" i="18"/>
  <c r="B87" i="18"/>
  <c r="Z86" i="18"/>
  <c r="T86" i="18"/>
  <c r="P86" i="18"/>
  <c r="X86" i="18" s="1"/>
  <c r="H86" i="18"/>
  <c r="D86" i="18"/>
  <c r="L86" i="18" s="1"/>
  <c r="N86" i="18" s="1"/>
  <c r="B86" i="18"/>
  <c r="T85" i="18"/>
  <c r="P85" i="18"/>
  <c r="X85" i="18" s="1"/>
  <c r="H85" i="18"/>
  <c r="D85" i="18"/>
  <c r="B85" i="18"/>
  <c r="T84" i="18"/>
  <c r="P84" i="18"/>
  <c r="H84" i="18"/>
  <c r="D84" i="18"/>
  <c r="B84" i="18"/>
  <c r="Z83" i="18"/>
  <c r="X83" i="18"/>
  <c r="T83" i="18"/>
  <c r="P83" i="18"/>
  <c r="L83" i="18"/>
  <c r="N83" i="18" s="1"/>
  <c r="H83" i="18"/>
  <c r="D83" i="18"/>
  <c r="B83" i="18"/>
  <c r="T82" i="18"/>
  <c r="P82" i="18"/>
  <c r="X82" i="18" s="1"/>
  <c r="Z82" i="18" s="1"/>
  <c r="H82" i="18"/>
  <c r="D82" i="18"/>
  <c r="L82" i="18" s="1"/>
  <c r="N82" i="18" s="1"/>
  <c r="B82" i="18"/>
  <c r="T81" i="18"/>
  <c r="Z81" i="18" s="1"/>
  <c r="P81" i="18"/>
  <c r="H81" i="18"/>
  <c r="N81" i="18" s="1"/>
  <c r="D81" i="18"/>
  <c r="B81" i="18"/>
  <c r="T80" i="18"/>
  <c r="P80" i="18"/>
  <c r="L80" i="18"/>
  <c r="H80" i="18"/>
  <c r="D80" i="18"/>
  <c r="B80" i="18"/>
  <c r="X79" i="18"/>
  <c r="Z79" i="18" s="1"/>
  <c r="T79" i="18"/>
  <c r="P79" i="18"/>
  <c r="N79" i="18"/>
  <c r="L79" i="18"/>
  <c r="H79" i="18"/>
  <c r="D79" i="18"/>
  <c r="B79" i="18"/>
  <c r="Z78" i="18"/>
  <c r="T78" i="18"/>
  <c r="P78" i="18"/>
  <c r="X78" i="18" s="1"/>
  <c r="H78" i="18"/>
  <c r="D78" i="18"/>
  <c r="L78" i="18" s="1"/>
  <c r="N78" i="18" s="1"/>
  <c r="B78" i="18"/>
  <c r="T77" i="18"/>
  <c r="P77" i="18"/>
  <c r="X77" i="18" s="1"/>
  <c r="H77" i="18"/>
  <c r="D77" i="18"/>
  <c r="B77" i="18"/>
  <c r="T76" i="18"/>
  <c r="P76" i="18"/>
  <c r="H76" i="18"/>
  <c r="D76" i="18"/>
  <c r="B76" i="18"/>
  <c r="Z75" i="18"/>
  <c r="X75" i="18"/>
  <c r="T75" i="18"/>
  <c r="P75" i="18"/>
  <c r="L75" i="18"/>
  <c r="N75" i="18" s="1"/>
  <c r="H75" i="18"/>
  <c r="D75" i="18"/>
  <c r="B75" i="18"/>
  <c r="T74" i="18"/>
  <c r="P74" i="18"/>
  <c r="X74" i="18" s="1"/>
  <c r="Z74" i="18" s="1"/>
  <c r="H74" i="18"/>
  <c r="D74" i="18"/>
  <c r="L74" i="18" s="1"/>
  <c r="N74" i="18" s="1"/>
  <c r="B74" i="18"/>
  <c r="T73" i="18"/>
  <c r="P73" i="18"/>
  <c r="H73" i="18"/>
  <c r="D73" i="18"/>
  <c r="B73" i="18"/>
  <c r="T72" i="18"/>
  <c r="P72" i="18"/>
  <c r="L72" i="18"/>
  <c r="H72" i="18"/>
  <c r="D72" i="18"/>
  <c r="B72" i="18"/>
  <c r="X71" i="18"/>
  <c r="Z71" i="18" s="1"/>
  <c r="T71" i="18"/>
  <c r="P71" i="18"/>
  <c r="N71" i="18"/>
  <c r="L71" i="18"/>
  <c r="H71" i="18"/>
  <c r="D71" i="18"/>
  <c r="B71" i="18"/>
  <c r="Z70" i="18"/>
  <c r="T70" i="18"/>
  <c r="P70" i="18"/>
  <c r="X70" i="18" s="1"/>
  <c r="H70" i="18"/>
  <c r="D70" i="18"/>
  <c r="L70" i="18" s="1"/>
  <c r="N70" i="18" s="1"/>
  <c r="B70" i="18"/>
  <c r="T69" i="18"/>
  <c r="P69" i="18"/>
  <c r="X69" i="18" s="1"/>
  <c r="H69" i="18"/>
  <c r="D69" i="18"/>
  <c r="B69" i="18"/>
  <c r="T68" i="18"/>
  <c r="P68" i="18"/>
  <c r="H68" i="18"/>
  <c r="D68" i="18"/>
  <c r="B68" i="18"/>
  <c r="Z67" i="18"/>
  <c r="X67" i="18"/>
  <c r="T67" i="18"/>
  <c r="P67" i="18"/>
  <c r="L67" i="18"/>
  <c r="N67" i="18" s="1"/>
  <c r="H67" i="18"/>
  <c r="D67" i="18"/>
  <c r="B67" i="18"/>
  <c r="T66" i="18"/>
  <c r="P66" i="18"/>
  <c r="X66" i="18" s="1"/>
  <c r="Z66" i="18" s="1"/>
  <c r="H66" i="18"/>
  <c r="D66" i="18"/>
  <c r="L66" i="18" s="1"/>
  <c r="N66" i="18" s="1"/>
  <c r="B66" i="18"/>
  <c r="T65" i="18"/>
  <c r="P65" i="18"/>
  <c r="H65" i="18"/>
  <c r="D65" i="18"/>
  <c r="B65" i="18"/>
  <c r="T64" i="18"/>
  <c r="P64" i="18"/>
  <c r="L64" i="18"/>
  <c r="H64" i="18"/>
  <c r="D64" i="18"/>
  <c r="B64" i="18"/>
  <c r="Z63" i="18"/>
  <c r="X63" i="18"/>
  <c r="T63" i="18"/>
  <c r="P63" i="18"/>
  <c r="N63" i="18"/>
  <c r="L63" i="18"/>
  <c r="H63" i="18"/>
  <c r="D63" i="18"/>
  <c r="B63" i="18"/>
  <c r="Z62" i="18"/>
  <c r="T62" i="18"/>
  <c r="P62" i="18"/>
  <c r="X62" i="18" s="1"/>
  <c r="H62" i="18"/>
  <c r="D62" i="18"/>
  <c r="L62" i="18" s="1"/>
  <c r="N62" i="18" s="1"/>
  <c r="B62" i="18"/>
  <c r="T61" i="18"/>
  <c r="P61" i="18"/>
  <c r="X61" i="18" s="1"/>
  <c r="H61" i="18"/>
  <c r="D61" i="18"/>
  <c r="B61" i="18"/>
  <c r="T60" i="18"/>
  <c r="P60" i="18"/>
  <c r="H60" i="18"/>
  <c r="D60" i="18"/>
  <c r="B60" i="18"/>
  <c r="Z59" i="18"/>
  <c r="X59" i="18"/>
  <c r="T59" i="18"/>
  <c r="P59" i="18"/>
  <c r="L59" i="18"/>
  <c r="N59" i="18" s="1"/>
  <c r="H59" i="18"/>
  <c r="D59" i="18"/>
  <c r="B59" i="18"/>
  <c r="T58" i="18"/>
  <c r="P58" i="18"/>
  <c r="X58" i="18" s="1"/>
  <c r="Z58" i="18" s="1"/>
  <c r="H58" i="18"/>
  <c r="D58" i="18"/>
  <c r="L58" i="18" s="1"/>
  <c r="N58" i="18" s="1"/>
  <c r="B58" i="18"/>
  <c r="T57" i="18"/>
  <c r="P57" i="18"/>
  <c r="H57" i="18"/>
  <c r="D57" i="18"/>
  <c r="B57" i="18"/>
  <c r="T56" i="18"/>
  <c r="P56" i="18"/>
  <c r="L56" i="18"/>
  <c r="H56" i="18"/>
  <c r="D56" i="18"/>
  <c r="B56" i="18"/>
  <c r="X55" i="18"/>
  <c r="Z55" i="18" s="1"/>
  <c r="T55" i="18"/>
  <c r="P55" i="18"/>
  <c r="N55" i="18"/>
  <c r="L55" i="18"/>
  <c r="H55" i="18"/>
  <c r="D55" i="18"/>
  <c r="B55" i="18"/>
  <c r="Z54" i="18"/>
  <c r="T54" i="18"/>
  <c r="P54" i="18"/>
  <c r="X54" i="18" s="1"/>
  <c r="H54" i="18"/>
  <c r="D54" i="18"/>
  <c r="L54" i="18" s="1"/>
  <c r="N54" i="18" s="1"/>
  <c r="B54" i="18"/>
  <c r="T53" i="18"/>
  <c r="P53" i="18"/>
  <c r="X53" i="18" s="1"/>
  <c r="H53" i="18"/>
  <c r="N53" i="18" s="1"/>
  <c r="D53" i="18"/>
  <c r="B53" i="18"/>
  <c r="T52" i="18"/>
  <c r="P52" i="18"/>
  <c r="H52" i="18"/>
  <c r="D52" i="18"/>
  <c r="B52" i="18"/>
  <c r="Z51" i="18"/>
  <c r="X51" i="18"/>
  <c r="T51" i="18"/>
  <c r="P51" i="18"/>
  <c r="L51" i="18"/>
  <c r="N51" i="18" s="1"/>
  <c r="H51" i="18"/>
  <c r="D51" i="18"/>
  <c r="B51" i="18"/>
  <c r="T50" i="18"/>
  <c r="P50" i="18"/>
  <c r="X50" i="18" s="1"/>
  <c r="Z50" i="18" s="1"/>
  <c r="H50" i="18"/>
  <c r="D50" i="18"/>
  <c r="L50" i="18" s="1"/>
  <c r="N50" i="18" s="1"/>
  <c r="B50" i="18"/>
  <c r="T49" i="18"/>
  <c r="P49" i="18"/>
  <c r="H49" i="18"/>
  <c r="N49" i="18" s="1"/>
  <c r="D49" i="18"/>
  <c r="B49" i="18"/>
  <c r="T48" i="18"/>
  <c r="P48" i="18"/>
  <c r="L48" i="18"/>
  <c r="H48" i="18"/>
  <c r="N48" i="18" s="1"/>
  <c r="D48" i="18"/>
  <c r="B48" i="18"/>
  <c r="X47" i="18"/>
  <c r="Z47" i="18" s="1"/>
  <c r="T47" i="18"/>
  <c r="P47" i="18"/>
  <c r="N47" i="18"/>
  <c r="L47" i="18"/>
  <c r="H47" i="18"/>
  <c r="D47" i="18"/>
  <c r="B47" i="18"/>
  <c r="Z46" i="18"/>
  <c r="T46" i="18"/>
  <c r="P46" i="18"/>
  <c r="X46" i="18" s="1"/>
  <c r="N46" i="18"/>
  <c r="H46" i="18"/>
  <c r="D46" i="18"/>
  <c r="L46" i="18" s="1"/>
  <c r="B46" i="18"/>
  <c r="T45" i="18"/>
  <c r="P45" i="18"/>
  <c r="X45" i="18" s="1"/>
  <c r="H45" i="18"/>
  <c r="D45" i="18"/>
  <c r="B45" i="18"/>
  <c r="T44" i="18"/>
  <c r="P44" i="18"/>
  <c r="H44" i="18"/>
  <c r="D44" i="18"/>
  <c r="B44" i="18"/>
  <c r="Z43" i="18"/>
  <c r="X43" i="18"/>
  <c r="T43" i="18"/>
  <c r="P43" i="18"/>
  <c r="N43" i="18"/>
  <c r="L43" i="18"/>
  <c r="H43" i="18"/>
  <c r="D43" i="18"/>
  <c r="B43" i="18"/>
  <c r="T42" i="18"/>
  <c r="P42" i="18"/>
  <c r="X42" i="18" s="1"/>
  <c r="Z42" i="18" s="1"/>
  <c r="H42" i="18"/>
  <c r="D42" i="18"/>
  <c r="L42" i="18" s="1"/>
  <c r="N42" i="18" s="1"/>
  <c r="B42" i="18"/>
  <c r="T41" i="18"/>
  <c r="P41" i="18"/>
  <c r="H41" i="18"/>
  <c r="D41" i="18"/>
  <c r="B41" i="18"/>
  <c r="X40" i="18"/>
  <c r="T40" i="18"/>
  <c r="P40" i="18"/>
  <c r="L40" i="18"/>
  <c r="H40" i="18"/>
  <c r="D40" i="18"/>
  <c r="B40" i="18"/>
  <c r="X39" i="18"/>
  <c r="Z39" i="18" s="1"/>
  <c r="T39" i="18"/>
  <c r="P39" i="18"/>
  <c r="N39" i="18"/>
  <c r="L39" i="18"/>
  <c r="H39" i="18"/>
  <c r="D39" i="18"/>
  <c r="B39" i="18"/>
  <c r="Z38" i="18"/>
  <c r="T38" i="18"/>
  <c r="P38" i="18"/>
  <c r="X38" i="18" s="1"/>
  <c r="H38" i="18"/>
  <c r="D38" i="18"/>
  <c r="L38" i="18" s="1"/>
  <c r="N38" i="18" s="1"/>
  <c r="B38" i="18"/>
  <c r="T37" i="18"/>
  <c r="P37" i="18"/>
  <c r="X37" i="18" s="1"/>
  <c r="H37" i="18"/>
  <c r="D37" i="18"/>
  <c r="B37" i="18"/>
  <c r="T36" i="18"/>
  <c r="P36" i="18"/>
  <c r="H36" i="18"/>
  <c r="D36" i="18"/>
  <c r="B36" i="18"/>
  <c r="Z35" i="18"/>
  <c r="X35" i="18"/>
  <c r="T35" i="18"/>
  <c r="P35" i="18"/>
  <c r="L35" i="18"/>
  <c r="N35" i="18" s="1"/>
  <c r="H35" i="18"/>
  <c r="D35" i="18"/>
  <c r="B35" i="18"/>
  <c r="T34" i="18"/>
  <c r="P34" i="18"/>
  <c r="X34" i="18" s="1"/>
  <c r="Z34" i="18" s="1"/>
  <c r="H34" i="18"/>
  <c r="D34" i="18"/>
  <c r="L34" i="18" s="1"/>
  <c r="N34" i="18" s="1"/>
  <c r="B34" i="18"/>
  <c r="T33" i="18"/>
  <c r="P33" i="18"/>
  <c r="H33" i="18"/>
  <c r="D33" i="18"/>
  <c r="B33" i="18"/>
  <c r="X32" i="18"/>
  <c r="T32" i="18"/>
  <c r="P32" i="18"/>
  <c r="L32" i="18"/>
  <c r="H32" i="18"/>
  <c r="D32" i="18"/>
  <c r="B32" i="18"/>
  <c r="X31" i="18"/>
  <c r="Z31" i="18" s="1"/>
  <c r="T31" i="18"/>
  <c r="P31" i="18"/>
  <c r="N31" i="18"/>
  <c r="L31" i="18"/>
  <c r="H31" i="18"/>
  <c r="D31" i="18"/>
  <c r="B31" i="18"/>
  <c r="Z30" i="18"/>
  <c r="T30" i="18"/>
  <c r="P30" i="18"/>
  <c r="X30" i="18" s="1"/>
  <c r="H30" i="18"/>
  <c r="D30" i="18"/>
  <c r="L30" i="18" s="1"/>
  <c r="N30" i="18" s="1"/>
  <c r="B30" i="18"/>
  <c r="T29" i="18"/>
  <c r="P29" i="18"/>
  <c r="X29" i="18" s="1"/>
  <c r="H29" i="18"/>
  <c r="D29" i="18"/>
  <c r="B29" i="18"/>
  <c r="T28" i="18"/>
  <c r="P28" i="18"/>
  <c r="H28" i="18"/>
  <c r="D28" i="18"/>
  <c r="B28" i="18"/>
  <c r="Z27" i="18"/>
  <c r="X27" i="18"/>
  <c r="T27" i="18"/>
  <c r="P27" i="18"/>
  <c r="L27" i="18"/>
  <c r="N27" i="18" s="1"/>
  <c r="H27" i="18"/>
  <c r="D27" i="18"/>
  <c r="B27" i="18"/>
  <c r="T26" i="18"/>
  <c r="P26" i="18"/>
  <c r="X26" i="18" s="1"/>
  <c r="Z26" i="18" s="1"/>
  <c r="H26" i="18"/>
  <c r="D26" i="18"/>
  <c r="L26" i="18" s="1"/>
  <c r="N26" i="18" s="1"/>
  <c r="B26" i="18"/>
  <c r="T25" i="18"/>
  <c r="P25" i="18"/>
  <c r="X25" i="18" s="1"/>
  <c r="Z25" i="18" s="1"/>
  <c r="H25" i="18"/>
  <c r="N25" i="18" s="1"/>
  <c r="D25" i="18"/>
  <c r="L25" i="18" s="1"/>
  <c r="B25" i="18"/>
  <c r="X24" i="18"/>
  <c r="T24" i="18"/>
  <c r="P24" i="18"/>
  <c r="H24" i="18"/>
  <c r="D24" i="18"/>
  <c r="B24" i="18"/>
  <c r="Z23" i="18"/>
  <c r="X23" i="18"/>
  <c r="T23" i="18"/>
  <c r="P23" i="18"/>
  <c r="L23" i="18"/>
  <c r="H23" i="18"/>
  <c r="D23" i="18"/>
  <c r="B23" i="18"/>
  <c r="Z22" i="18"/>
  <c r="T22" i="18"/>
  <c r="P22" i="18"/>
  <c r="X22" i="18" s="1"/>
  <c r="L22" i="18"/>
  <c r="N22" i="18" s="1"/>
  <c r="H22" i="18"/>
  <c r="D22" i="18"/>
  <c r="B22" i="18"/>
  <c r="Z21" i="18"/>
  <c r="T21" i="18"/>
  <c r="P21" i="18"/>
  <c r="X21" i="18" s="1"/>
  <c r="H21" i="18"/>
  <c r="D21" i="18"/>
  <c r="B21" i="18"/>
  <c r="Z20" i="18"/>
  <c r="X20" i="18"/>
  <c r="T20" i="18"/>
  <c r="P20" i="18"/>
  <c r="L20" i="18"/>
  <c r="H20" i="18"/>
  <c r="D20" i="18"/>
  <c r="B20" i="18"/>
  <c r="T19" i="18"/>
  <c r="P19" i="18"/>
  <c r="X19" i="18" s="1"/>
  <c r="Z19" i="18" s="1"/>
  <c r="N19" i="18"/>
  <c r="H19" i="18"/>
  <c r="D19" i="18"/>
  <c r="L19" i="18" s="1"/>
  <c r="B19" i="18"/>
  <c r="T18" i="18"/>
  <c r="Z18" i="18" s="1"/>
  <c r="P18" i="18"/>
  <c r="X18" i="18" s="1"/>
  <c r="H18" i="18"/>
  <c r="N18" i="18" s="1"/>
  <c r="D18" i="18"/>
  <c r="L18" i="18" s="1"/>
  <c r="B18" i="18"/>
  <c r="T17" i="18"/>
  <c r="P17" i="18"/>
  <c r="X17" i="18" s="1"/>
  <c r="L17" i="18"/>
  <c r="H17" i="18"/>
  <c r="N17" i="18" s="1"/>
  <c r="D17" i="18"/>
  <c r="B17" i="18"/>
  <c r="X16" i="18"/>
  <c r="T16" i="18"/>
  <c r="Z16" i="18" s="1"/>
  <c r="P16" i="18"/>
  <c r="N16" i="18"/>
  <c r="L16" i="18"/>
  <c r="H16" i="18"/>
  <c r="D16" i="18"/>
  <c r="B16" i="18"/>
  <c r="T15" i="18"/>
  <c r="P15" i="18"/>
  <c r="X15" i="18" s="1"/>
  <c r="Z15" i="18" s="1"/>
  <c r="H15" i="18"/>
  <c r="D15" i="18"/>
  <c r="L15" i="18" s="1"/>
  <c r="N15" i="18" s="1"/>
  <c r="B15" i="18"/>
  <c r="T14" i="18"/>
  <c r="P14" i="18"/>
  <c r="P12" i="18" s="1"/>
  <c r="R196" i="18" s="1"/>
  <c r="H14" i="18"/>
  <c r="D14" i="18"/>
  <c r="B14" i="18"/>
  <c r="X13" i="18"/>
  <c r="T13" i="18"/>
  <c r="P13" i="18"/>
  <c r="H13" i="18"/>
  <c r="D13" i="18"/>
  <c r="L13" i="18" s="1"/>
  <c r="B13" i="18"/>
  <c r="D4" i="18"/>
  <c r="B39" i="17"/>
  <c r="B38" i="17"/>
  <c r="T34" i="17"/>
  <c r="Z34" i="17" s="1"/>
  <c r="P34" i="17"/>
  <c r="H34" i="17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N20" i="17" s="1"/>
  <c r="D20" i="17"/>
  <c r="T16" i="17"/>
  <c r="Z16" i="17" s="1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D13" i="17"/>
  <c r="B13" i="17"/>
  <c r="T12" i="17"/>
  <c r="V24" i="17" s="1"/>
  <c r="P12" i="17"/>
  <c r="R20" i="17" s="1"/>
  <c r="H12" i="17"/>
  <c r="J31" i="17" s="1"/>
  <c r="D12" i="17"/>
  <c r="F24" i="17" s="1"/>
  <c r="D5" i="17"/>
  <c r="D4" i="17"/>
  <c r="B39" i="16"/>
  <c r="B38" i="16"/>
  <c r="T34" i="16"/>
  <c r="Z34" i="16" s="1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N20" i="16" s="1"/>
  <c r="D20" i="16"/>
  <c r="T16" i="16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P13" i="16"/>
  <c r="H13" i="16"/>
  <c r="N13" i="16" s="1"/>
  <c r="D13" i="16"/>
  <c r="B13" i="16"/>
  <c r="T12" i="16"/>
  <c r="V34" i="16" s="1"/>
  <c r="P12" i="16"/>
  <c r="R33" i="16" s="1"/>
  <c r="H12" i="16"/>
  <c r="D12" i="16"/>
  <c r="F34" i="16" s="1"/>
  <c r="D5" i="16"/>
  <c r="D4" i="16"/>
  <c r="Z206" i="15"/>
  <c r="X206" i="15"/>
  <c r="L206" i="15"/>
  <c r="N206" i="15" s="1"/>
  <c r="X202" i="15"/>
  <c r="Z202" i="15" s="1"/>
  <c r="T202" i="15"/>
  <c r="P202" i="15"/>
  <c r="N202" i="15"/>
  <c r="H202" i="15"/>
  <c r="L202" i="15" s="1"/>
  <c r="D202" i="15"/>
  <c r="B202" i="15"/>
  <c r="X201" i="15"/>
  <c r="T201" i="15"/>
  <c r="Z201" i="15" s="1"/>
  <c r="P201" i="15"/>
  <c r="H201" i="15"/>
  <c r="D201" i="15"/>
  <c r="L201" i="15" s="1"/>
  <c r="B201" i="15"/>
  <c r="T200" i="15"/>
  <c r="P200" i="15"/>
  <c r="X200" i="15" s="1"/>
  <c r="Z200" i="15" s="1"/>
  <c r="L200" i="15"/>
  <c r="N200" i="15" s="1"/>
  <c r="H200" i="15"/>
  <c r="D200" i="15"/>
  <c r="B200" i="15"/>
  <c r="X199" i="15"/>
  <c r="T199" i="15"/>
  <c r="Z199" i="15" s="1"/>
  <c r="P199" i="15"/>
  <c r="L199" i="15"/>
  <c r="H199" i="15"/>
  <c r="N199" i="15" s="1"/>
  <c r="D199" i="15"/>
  <c r="D198" i="15" s="1"/>
  <c r="B199" i="15"/>
  <c r="P198" i="15"/>
  <c r="X196" i="15"/>
  <c r="Z196" i="15" s="1"/>
  <c r="N196" i="15"/>
  <c r="L196" i="15"/>
  <c r="B196" i="15"/>
  <c r="T195" i="15"/>
  <c r="P195" i="15"/>
  <c r="X195" i="15" s="1"/>
  <c r="Z195" i="15" s="1"/>
  <c r="L195" i="15"/>
  <c r="H195" i="15"/>
  <c r="N195" i="15" s="1"/>
  <c r="D195" i="15"/>
  <c r="B195" i="15"/>
  <c r="Z194" i="15"/>
  <c r="X194" i="15"/>
  <c r="N194" i="15"/>
  <c r="L194" i="15"/>
  <c r="B194" i="15"/>
  <c r="X193" i="15"/>
  <c r="Z193" i="15" s="1"/>
  <c r="N193" i="15"/>
  <c r="L193" i="15"/>
  <c r="B193" i="15"/>
  <c r="X192" i="15"/>
  <c r="Z192" i="15" s="1"/>
  <c r="N192" i="15"/>
  <c r="L192" i="15"/>
  <c r="B192" i="15"/>
  <c r="T191" i="15"/>
  <c r="P191" i="15"/>
  <c r="X191" i="15" s="1"/>
  <c r="Z191" i="15" s="1"/>
  <c r="L191" i="15"/>
  <c r="H191" i="15"/>
  <c r="N191" i="15" s="1"/>
  <c r="D191" i="15"/>
  <c r="B191" i="15"/>
  <c r="Z190" i="15"/>
  <c r="X190" i="15"/>
  <c r="N190" i="15"/>
  <c r="L190" i="15"/>
  <c r="B190" i="15"/>
  <c r="X189" i="15"/>
  <c r="T189" i="15"/>
  <c r="Z189" i="15" s="1"/>
  <c r="P189" i="15"/>
  <c r="L189" i="15"/>
  <c r="H189" i="15"/>
  <c r="N189" i="15" s="1"/>
  <c r="D189" i="15"/>
  <c r="B189" i="15"/>
  <c r="Z188" i="15"/>
  <c r="X188" i="15"/>
  <c r="L188" i="15"/>
  <c r="N188" i="15" s="1"/>
  <c r="B188" i="15"/>
  <c r="X187" i="15"/>
  <c r="Z187" i="15" s="1"/>
  <c r="N187" i="15"/>
  <c r="L187" i="15"/>
  <c r="B187" i="15"/>
  <c r="T186" i="15"/>
  <c r="P186" i="15"/>
  <c r="X186" i="15" s="1"/>
  <c r="Z186" i="15" s="1"/>
  <c r="H186" i="15"/>
  <c r="D186" i="15"/>
  <c r="L186" i="15" s="1"/>
  <c r="N186" i="15" s="1"/>
  <c r="B186" i="15"/>
  <c r="X185" i="15"/>
  <c r="Z185" i="15" s="1"/>
  <c r="L185" i="15"/>
  <c r="N185" i="15" s="1"/>
  <c r="B185" i="15"/>
  <c r="Z184" i="15"/>
  <c r="X184" i="15"/>
  <c r="L184" i="15"/>
  <c r="N184" i="15" s="1"/>
  <c r="B184" i="15"/>
  <c r="X183" i="15"/>
  <c r="Z183" i="15" s="1"/>
  <c r="N183" i="15"/>
  <c r="L183" i="15"/>
  <c r="B183" i="15"/>
  <c r="Z182" i="15"/>
  <c r="X182" i="15"/>
  <c r="N182" i="15"/>
  <c r="L182" i="15"/>
  <c r="B182" i="15"/>
  <c r="X181" i="15"/>
  <c r="Z181" i="15" s="1"/>
  <c r="N181" i="15"/>
  <c r="L181" i="15"/>
  <c r="B181" i="15"/>
  <c r="X180" i="15"/>
  <c r="Z180" i="15" s="1"/>
  <c r="N180" i="15"/>
  <c r="L180" i="15"/>
  <c r="B180" i="15"/>
  <c r="T179" i="15"/>
  <c r="P179" i="15"/>
  <c r="X179" i="15" s="1"/>
  <c r="Z179" i="15" s="1"/>
  <c r="L179" i="15"/>
  <c r="H179" i="15"/>
  <c r="N179" i="15" s="1"/>
  <c r="D179" i="15"/>
  <c r="B179" i="15"/>
  <c r="Z178" i="15"/>
  <c r="X178" i="15"/>
  <c r="N178" i="15"/>
  <c r="L178" i="15"/>
  <c r="B178" i="15"/>
  <c r="X177" i="15"/>
  <c r="Z177" i="15" s="1"/>
  <c r="L177" i="15"/>
  <c r="N177" i="15" s="1"/>
  <c r="B177" i="15"/>
  <c r="X176" i="15"/>
  <c r="Z176" i="15" s="1"/>
  <c r="T176" i="15"/>
  <c r="P176" i="15"/>
  <c r="N176" i="15"/>
  <c r="H176" i="15"/>
  <c r="D176" i="15"/>
  <c r="L176" i="15" s="1"/>
  <c r="B176" i="15"/>
  <c r="X175" i="15"/>
  <c r="Z175" i="15" s="1"/>
  <c r="N175" i="15"/>
  <c r="L175" i="15"/>
  <c r="B175" i="15"/>
  <c r="Z174" i="15"/>
  <c r="X174" i="15"/>
  <c r="N174" i="15"/>
  <c r="L174" i="15"/>
  <c r="B174" i="15"/>
  <c r="X173" i="15"/>
  <c r="Z173" i="15" s="1"/>
  <c r="N173" i="15"/>
  <c r="L173" i="15"/>
  <c r="B173" i="15"/>
  <c r="X172" i="15"/>
  <c r="Z172" i="15" s="1"/>
  <c r="N172" i="15"/>
  <c r="L172" i="15"/>
  <c r="B172" i="15"/>
  <c r="T171" i="15"/>
  <c r="P171" i="15"/>
  <c r="X171" i="15" s="1"/>
  <c r="Z171" i="15" s="1"/>
  <c r="L171" i="15"/>
  <c r="H171" i="15"/>
  <c r="N171" i="15" s="1"/>
  <c r="D171" i="15"/>
  <c r="B171" i="15"/>
  <c r="Z170" i="15"/>
  <c r="X170" i="15"/>
  <c r="N170" i="15"/>
  <c r="L170" i="15"/>
  <c r="B170" i="15"/>
  <c r="Z169" i="15"/>
  <c r="X169" i="15"/>
  <c r="N169" i="15"/>
  <c r="L169" i="15"/>
  <c r="B169" i="15"/>
  <c r="X168" i="15"/>
  <c r="Z168" i="15" s="1"/>
  <c r="N168" i="15"/>
  <c r="L168" i="15"/>
  <c r="B168" i="15"/>
  <c r="Z167" i="15"/>
  <c r="T167" i="15"/>
  <c r="P167" i="15"/>
  <c r="X167" i="15" s="1"/>
  <c r="L167" i="15"/>
  <c r="H167" i="15"/>
  <c r="N167" i="15" s="1"/>
  <c r="D167" i="15"/>
  <c r="B167" i="15"/>
  <c r="Z166" i="15"/>
  <c r="X166" i="15"/>
  <c r="N166" i="15"/>
  <c r="L166" i="15"/>
  <c r="B166" i="15"/>
  <c r="X165" i="15"/>
  <c r="Z165" i="15" s="1"/>
  <c r="L165" i="15"/>
  <c r="N165" i="15" s="1"/>
  <c r="B165" i="15"/>
  <c r="X164" i="15"/>
  <c r="Z164" i="15" s="1"/>
  <c r="N164" i="15"/>
  <c r="L164" i="15"/>
  <c r="B164" i="15"/>
  <c r="Z163" i="15"/>
  <c r="X163" i="15"/>
  <c r="N163" i="15"/>
  <c r="L163" i="15"/>
  <c r="B163" i="15"/>
  <c r="T162" i="15"/>
  <c r="P162" i="15"/>
  <c r="X162" i="15" s="1"/>
  <c r="L162" i="15"/>
  <c r="N162" i="15" s="1"/>
  <c r="H162" i="15"/>
  <c r="D162" i="15"/>
  <c r="B162" i="15"/>
  <c r="X161" i="15"/>
  <c r="Z161" i="15" s="1"/>
  <c r="L161" i="15"/>
  <c r="N161" i="15" s="1"/>
  <c r="B161" i="15"/>
  <c r="X160" i="15"/>
  <c r="Z160" i="15" s="1"/>
  <c r="T160" i="15"/>
  <c r="P160" i="15"/>
  <c r="N160" i="15"/>
  <c r="H160" i="15"/>
  <c r="L160" i="15" s="1"/>
  <c r="D160" i="15"/>
  <c r="B160" i="15"/>
  <c r="Z159" i="15"/>
  <c r="X159" i="15"/>
  <c r="N159" i="15"/>
  <c r="L159" i="15"/>
  <c r="B159" i="15"/>
  <c r="Z158" i="15"/>
  <c r="X158" i="15"/>
  <c r="N158" i="15"/>
  <c r="L158" i="15"/>
  <c r="B158" i="15"/>
  <c r="X157" i="15"/>
  <c r="T157" i="15"/>
  <c r="Z157" i="15" s="1"/>
  <c r="P157" i="15"/>
  <c r="L157" i="15"/>
  <c r="H157" i="15"/>
  <c r="D157" i="15"/>
  <c r="B157" i="15"/>
  <c r="Z156" i="15"/>
  <c r="X156" i="15"/>
  <c r="L156" i="15"/>
  <c r="N156" i="15" s="1"/>
  <c r="B156" i="15"/>
  <c r="X155" i="15"/>
  <c r="T155" i="15"/>
  <c r="P155" i="15"/>
  <c r="H155" i="15"/>
  <c r="D155" i="15"/>
  <c r="B155" i="15"/>
  <c r="Z154" i="15"/>
  <c r="X154" i="15"/>
  <c r="N154" i="15"/>
  <c r="L154" i="15"/>
  <c r="B154" i="15"/>
  <c r="T153" i="15"/>
  <c r="P153" i="15"/>
  <c r="N153" i="15"/>
  <c r="H153" i="15"/>
  <c r="D153" i="15"/>
  <c r="L153" i="15" s="1"/>
  <c r="B153" i="15"/>
  <c r="Z152" i="15"/>
  <c r="X152" i="15"/>
  <c r="N152" i="15"/>
  <c r="L152" i="15"/>
  <c r="B152" i="15"/>
  <c r="Z151" i="15"/>
  <c r="X151" i="15"/>
  <c r="L151" i="15"/>
  <c r="N151" i="15" s="1"/>
  <c r="B151" i="15"/>
  <c r="T150" i="15"/>
  <c r="Z150" i="15" s="1"/>
  <c r="P150" i="15"/>
  <c r="X150" i="15" s="1"/>
  <c r="N150" i="15"/>
  <c r="L150" i="15"/>
  <c r="H150" i="15"/>
  <c r="D150" i="15"/>
  <c r="B150" i="15"/>
  <c r="X149" i="15"/>
  <c r="Z149" i="15" s="1"/>
  <c r="L149" i="15"/>
  <c r="N149" i="15" s="1"/>
  <c r="B149" i="15"/>
  <c r="Z148" i="15"/>
  <c r="X148" i="15"/>
  <c r="T148" i="15"/>
  <c r="P148" i="15"/>
  <c r="H148" i="15"/>
  <c r="D148" i="15"/>
  <c r="B148" i="15"/>
  <c r="X147" i="15"/>
  <c r="Z147" i="15" s="1"/>
  <c r="N147" i="15"/>
  <c r="L147" i="15"/>
  <c r="B147" i="15"/>
  <c r="T146" i="15"/>
  <c r="P146" i="15"/>
  <c r="X146" i="15" s="1"/>
  <c r="Z146" i="15" s="1"/>
  <c r="N146" i="15"/>
  <c r="H146" i="15"/>
  <c r="D146" i="15"/>
  <c r="L146" i="15" s="1"/>
  <c r="B146" i="15"/>
  <c r="Z145" i="15"/>
  <c r="X145" i="15"/>
  <c r="N145" i="15"/>
  <c r="L145" i="15"/>
  <c r="B145" i="15"/>
  <c r="Z144" i="15"/>
  <c r="X144" i="15"/>
  <c r="N144" i="15"/>
  <c r="L144" i="15"/>
  <c r="B144" i="15"/>
  <c r="X143" i="15"/>
  <c r="T143" i="15"/>
  <c r="P143" i="15"/>
  <c r="L143" i="15"/>
  <c r="H143" i="15"/>
  <c r="D143" i="15"/>
  <c r="B143" i="15"/>
  <c r="X142" i="15"/>
  <c r="Z142" i="15" s="1"/>
  <c r="N142" i="15"/>
  <c r="L142" i="15"/>
  <c r="B142" i="15"/>
  <c r="X141" i="15"/>
  <c r="Z141" i="15" s="1"/>
  <c r="L141" i="15"/>
  <c r="N141" i="15" s="1"/>
  <c r="B141" i="15"/>
  <c r="Z140" i="15"/>
  <c r="T140" i="15"/>
  <c r="P140" i="15"/>
  <c r="X140" i="15" s="1"/>
  <c r="H140" i="15"/>
  <c r="D140" i="15"/>
  <c r="B140" i="15"/>
  <c r="Z139" i="15"/>
  <c r="X139" i="15"/>
  <c r="N139" i="15"/>
  <c r="L139" i="15"/>
  <c r="B139" i="15"/>
  <c r="T138" i="15"/>
  <c r="P138" i="15"/>
  <c r="H138" i="15"/>
  <c r="D138" i="15"/>
  <c r="L138" i="15" s="1"/>
  <c r="N138" i="15" s="1"/>
  <c r="B138" i="15"/>
  <c r="X137" i="15"/>
  <c r="Z137" i="15" s="1"/>
  <c r="N137" i="15"/>
  <c r="L137" i="15"/>
  <c r="B137" i="15"/>
  <c r="T136" i="15"/>
  <c r="P136" i="15"/>
  <c r="X136" i="15" s="1"/>
  <c r="H136" i="15"/>
  <c r="D136" i="15"/>
  <c r="B136" i="15"/>
  <c r="Z135" i="15"/>
  <c r="X135" i="15"/>
  <c r="N135" i="15"/>
  <c r="L135" i="15"/>
  <c r="B135" i="15"/>
  <c r="T134" i="15"/>
  <c r="P134" i="15"/>
  <c r="X134" i="15" s="1"/>
  <c r="Z134" i="15" s="1"/>
  <c r="H134" i="15"/>
  <c r="N134" i="15" s="1"/>
  <c r="D134" i="15"/>
  <c r="L134" i="15" s="1"/>
  <c r="B134" i="15"/>
  <c r="Z133" i="15"/>
  <c r="X133" i="15"/>
  <c r="N133" i="15"/>
  <c r="L133" i="15"/>
  <c r="B133" i="15"/>
  <c r="Z132" i="15"/>
  <c r="X132" i="15"/>
  <c r="N132" i="15"/>
  <c r="L132" i="15"/>
  <c r="B132" i="15"/>
  <c r="Z131" i="15"/>
  <c r="X131" i="15"/>
  <c r="N131" i="15"/>
  <c r="L131" i="15"/>
  <c r="B131" i="15"/>
  <c r="X130" i="15"/>
  <c r="Z130" i="15" s="1"/>
  <c r="L130" i="15"/>
  <c r="N130" i="15" s="1"/>
  <c r="B130" i="15"/>
  <c r="Z129" i="15"/>
  <c r="X129" i="15"/>
  <c r="N129" i="15"/>
  <c r="L129" i="15"/>
  <c r="B129" i="15"/>
  <c r="Z128" i="15"/>
  <c r="X128" i="15"/>
  <c r="N128" i="15"/>
  <c r="L128" i="15"/>
  <c r="B128" i="15"/>
  <c r="Z127" i="15"/>
  <c r="X127" i="15"/>
  <c r="N127" i="15"/>
  <c r="L127" i="15"/>
  <c r="B127" i="15"/>
  <c r="X126" i="15"/>
  <c r="T126" i="15"/>
  <c r="P126" i="15"/>
  <c r="H126" i="15"/>
  <c r="D126" i="15"/>
  <c r="B126" i="15"/>
  <c r="Z125" i="15"/>
  <c r="X125" i="15"/>
  <c r="N125" i="15"/>
  <c r="L125" i="15"/>
  <c r="B125" i="15"/>
  <c r="Z124" i="15"/>
  <c r="X124" i="15"/>
  <c r="N124" i="15"/>
  <c r="L124" i="15"/>
  <c r="B124" i="15"/>
  <c r="Z123" i="15"/>
  <c r="X123" i="15"/>
  <c r="N123" i="15"/>
  <c r="L123" i="15"/>
  <c r="B123" i="15"/>
  <c r="X122" i="15"/>
  <c r="Z122" i="15" s="1"/>
  <c r="L122" i="15"/>
  <c r="N122" i="15" s="1"/>
  <c r="B122" i="15"/>
  <c r="Z121" i="15"/>
  <c r="X121" i="15"/>
  <c r="N121" i="15"/>
  <c r="L121" i="15"/>
  <c r="B121" i="15"/>
  <c r="Z120" i="15"/>
  <c r="X120" i="15"/>
  <c r="N120" i="15"/>
  <c r="L120" i="15"/>
  <c r="B120" i="15"/>
  <c r="Z119" i="15"/>
  <c r="X119" i="15"/>
  <c r="N119" i="15"/>
  <c r="L119" i="15"/>
  <c r="B119" i="15"/>
  <c r="X118" i="15"/>
  <c r="Z118" i="15" s="1"/>
  <c r="L118" i="15"/>
  <c r="N118" i="15" s="1"/>
  <c r="B118" i="15"/>
  <c r="Z117" i="15"/>
  <c r="X117" i="15"/>
  <c r="N117" i="15"/>
  <c r="L117" i="15"/>
  <c r="B117" i="15"/>
  <c r="Z116" i="15"/>
  <c r="X116" i="15"/>
  <c r="N116" i="15"/>
  <c r="L116" i="15"/>
  <c r="B116" i="15"/>
  <c r="T115" i="15"/>
  <c r="P115" i="15"/>
  <c r="X115" i="15" s="1"/>
  <c r="N115" i="15"/>
  <c r="L115" i="15"/>
  <c r="H115" i="15"/>
  <c r="D115" i="15"/>
  <c r="B115" i="15"/>
  <c r="T114" i="15"/>
  <c r="P114" i="15"/>
  <c r="X114" i="15" s="1"/>
  <c r="H114" i="15"/>
  <c r="N114" i="15" s="1"/>
  <c r="D114" i="15"/>
  <c r="L114" i="15" s="1"/>
  <c r="Z110" i="15"/>
  <c r="X110" i="15"/>
  <c r="N110" i="15"/>
  <c r="L110" i="15"/>
  <c r="B110" i="15"/>
  <c r="Z109" i="15"/>
  <c r="X109" i="15"/>
  <c r="N109" i="15"/>
  <c r="L109" i="15"/>
  <c r="B109" i="15"/>
  <c r="Z108" i="15"/>
  <c r="X108" i="15"/>
  <c r="N108" i="15"/>
  <c r="L108" i="15"/>
  <c r="B108" i="15"/>
  <c r="Z107" i="15"/>
  <c r="X107" i="15"/>
  <c r="N107" i="15"/>
  <c r="L107" i="15"/>
  <c r="B107" i="15"/>
  <c r="X106" i="15"/>
  <c r="Z106" i="15" s="1"/>
  <c r="L106" i="15"/>
  <c r="N106" i="15" s="1"/>
  <c r="B106" i="15"/>
  <c r="Z105" i="15"/>
  <c r="X105" i="15"/>
  <c r="N105" i="15"/>
  <c r="L105" i="15"/>
  <c r="B105" i="15"/>
  <c r="Z104" i="15"/>
  <c r="X104" i="15"/>
  <c r="L104" i="15"/>
  <c r="N104" i="15" s="1"/>
  <c r="B104" i="15"/>
  <c r="Z103" i="15"/>
  <c r="X103" i="15"/>
  <c r="N103" i="15"/>
  <c r="L103" i="15"/>
  <c r="B103" i="15"/>
  <c r="Z102" i="15"/>
  <c r="X102" i="15"/>
  <c r="N102" i="15"/>
  <c r="L102" i="15"/>
  <c r="B102" i="15"/>
  <c r="Z101" i="15"/>
  <c r="X101" i="15"/>
  <c r="N101" i="15"/>
  <c r="L101" i="15"/>
  <c r="B101" i="15"/>
  <c r="X100" i="15"/>
  <c r="Z100" i="15" s="1"/>
  <c r="N100" i="15"/>
  <c r="L100" i="15"/>
  <c r="B100" i="15"/>
  <c r="Z99" i="15"/>
  <c r="X99" i="15"/>
  <c r="N99" i="15"/>
  <c r="L99" i="15"/>
  <c r="B99" i="15"/>
  <c r="X98" i="15"/>
  <c r="Z98" i="15" s="1"/>
  <c r="L98" i="15"/>
  <c r="N98" i="15" s="1"/>
  <c r="B98" i="15"/>
  <c r="Z97" i="15"/>
  <c r="X97" i="15"/>
  <c r="N97" i="15"/>
  <c r="L97" i="15"/>
  <c r="B97" i="15"/>
  <c r="Z96" i="15"/>
  <c r="X96" i="15"/>
  <c r="L96" i="15"/>
  <c r="N96" i="15" s="1"/>
  <c r="B96" i="15"/>
  <c r="Z95" i="15"/>
  <c r="X95" i="15"/>
  <c r="N95" i="15"/>
  <c r="L95" i="15"/>
  <c r="B95" i="15"/>
  <c r="Z94" i="15"/>
  <c r="X94" i="15"/>
  <c r="N94" i="15"/>
  <c r="L94" i="15"/>
  <c r="B94" i="15"/>
  <c r="Z93" i="15"/>
  <c r="X93" i="15"/>
  <c r="N93" i="15"/>
  <c r="L93" i="15"/>
  <c r="B93" i="15"/>
  <c r="Z92" i="15"/>
  <c r="X92" i="15"/>
  <c r="N92" i="15"/>
  <c r="L92" i="15"/>
  <c r="B92" i="15"/>
  <c r="Z91" i="15"/>
  <c r="X91" i="15"/>
  <c r="N91" i="15"/>
  <c r="L91" i="15"/>
  <c r="B91" i="15"/>
  <c r="X90" i="15"/>
  <c r="Z90" i="15" s="1"/>
  <c r="L90" i="15"/>
  <c r="N90" i="15" s="1"/>
  <c r="B90" i="15"/>
  <c r="Z89" i="15"/>
  <c r="X89" i="15"/>
  <c r="N89" i="15"/>
  <c r="L89" i="15"/>
  <c r="B89" i="15"/>
  <c r="Z88" i="15"/>
  <c r="X88" i="15"/>
  <c r="L88" i="15"/>
  <c r="N88" i="15" s="1"/>
  <c r="B88" i="15"/>
  <c r="Z87" i="15"/>
  <c r="X87" i="15"/>
  <c r="N87" i="15"/>
  <c r="L87" i="15"/>
  <c r="B87" i="15"/>
  <c r="X86" i="15"/>
  <c r="Z86" i="15" s="1"/>
  <c r="L86" i="15"/>
  <c r="N86" i="15" s="1"/>
  <c r="B86" i="15"/>
  <c r="Z85" i="15"/>
  <c r="X85" i="15"/>
  <c r="N85" i="15"/>
  <c r="L85" i="15"/>
  <c r="B85" i="15"/>
  <c r="Z84" i="15"/>
  <c r="X84" i="15"/>
  <c r="N84" i="15"/>
  <c r="L84" i="15"/>
  <c r="B84" i="15"/>
  <c r="Z83" i="15"/>
  <c r="X83" i="15"/>
  <c r="N83" i="15"/>
  <c r="L83" i="15"/>
  <c r="B83" i="15"/>
  <c r="X82" i="15"/>
  <c r="Z82" i="15" s="1"/>
  <c r="L82" i="15"/>
  <c r="N82" i="15" s="1"/>
  <c r="B82" i="15"/>
  <c r="Z81" i="15"/>
  <c r="X81" i="15"/>
  <c r="N81" i="15"/>
  <c r="L81" i="15"/>
  <c r="B81" i="15"/>
  <c r="Z80" i="15"/>
  <c r="X80" i="15"/>
  <c r="L80" i="15"/>
  <c r="N80" i="15" s="1"/>
  <c r="B80" i="15"/>
  <c r="Z79" i="15"/>
  <c r="X79" i="15"/>
  <c r="N79" i="15"/>
  <c r="L79" i="15"/>
  <c r="B79" i="15"/>
  <c r="X78" i="15"/>
  <c r="Z78" i="15" s="1"/>
  <c r="L78" i="15"/>
  <c r="N78" i="15" s="1"/>
  <c r="B78" i="15"/>
  <c r="Z77" i="15"/>
  <c r="X77" i="15"/>
  <c r="N77" i="15"/>
  <c r="L77" i="15"/>
  <c r="B77" i="15"/>
  <c r="T76" i="15"/>
  <c r="P76" i="15"/>
  <c r="H76" i="15"/>
  <c r="D76" i="15"/>
  <c r="L76" i="15" s="1"/>
  <c r="T74" i="15"/>
  <c r="P74" i="15"/>
  <c r="X74" i="15" s="1"/>
  <c r="Z74" i="15" s="1"/>
  <c r="H74" i="15"/>
  <c r="D74" i="15"/>
  <c r="L74" i="15" s="1"/>
  <c r="N74" i="15" s="1"/>
  <c r="B74" i="15"/>
  <c r="T73" i="15"/>
  <c r="P73" i="15"/>
  <c r="X73" i="15" s="1"/>
  <c r="H73" i="15"/>
  <c r="D73" i="15"/>
  <c r="B73" i="15"/>
  <c r="T72" i="15"/>
  <c r="P72" i="15"/>
  <c r="X72" i="15" s="1"/>
  <c r="L72" i="15"/>
  <c r="H72" i="15"/>
  <c r="D72" i="15"/>
  <c r="B72" i="15"/>
  <c r="T71" i="15"/>
  <c r="P71" i="15"/>
  <c r="N71" i="15"/>
  <c r="L71" i="15"/>
  <c r="H71" i="15"/>
  <c r="D71" i="15"/>
  <c r="B71" i="15"/>
  <c r="T70" i="15"/>
  <c r="P70" i="15"/>
  <c r="X70" i="15" s="1"/>
  <c r="Z70" i="15" s="1"/>
  <c r="H70" i="15"/>
  <c r="D70" i="15"/>
  <c r="L70" i="15" s="1"/>
  <c r="N70" i="15" s="1"/>
  <c r="B70" i="15"/>
  <c r="T69" i="15"/>
  <c r="P69" i="15"/>
  <c r="H69" i="15"/>
  <c r="D69" i="15"/>
  <c r="L69" i="15" s="1"/>
  <c r="B69" i="15"/>
  <c r="X68" i="15"/>
  <c r="T68" i="15"/>
  <c r="Z68" i="15" s="1"/>
  <c r="P68" i="15"/>
  <c r="H68" i="15"/>
  <c r="N68" i="15" s="1"/>
  <c r="D68" i="15"/>
  <c r="L68" i="15" s="1"/>
  <c r="B68" i="15"/>
  <c r="Z67" i="15"/>
  <c r="X67" i="15"/>
  <c r="T67" i="15"/>
  <c r="P67" i="15"/>
  <c r="H67" i="15"/>
  <c r="D67" i="15"/>
  <c r="B67" i="15"/>
  <c r="T66" i="15"/>
  <c r="P66" i="15"/>
  <c r="X66" i="15" s="1"/>
  <c r="Z66" i="15" s="1"/>
  <c r="H66" i="15"/>
  <c r="D66" i="15"/>
  <c r="L66" i="15" s="1"/>
  <c r="N66" i="15" s="1"/>
  <c r="B66" i="15"/>
  <c r="T65" i="15"/>
  <c r="Z65" i="15" s="1"/>
  <c r="P65" i="15"/>
  <c r="X65" i="15" s="1"/>
  <c r="H65" i="15"/>
  <c r="D65" i="15"/>
  <c r="L65" i="15" s="1"/>
  <c r="B65" i="15"/>
  <c r="T64" i="15"/>
  <c r="P64" i="15"/>
  <c r="X64" i="15" s="1"/>
  <c r="L64" i="15"/>
  <c r="H64" i="15"/>
  <c r="D64" i="15"/>
  <c r="B64" i="15"/>
  <c r="T63" i="15"/>
  <c r="P63" i="15"/>
  <c r="N63" i="15"/>
  <c r="L63" i="15"/>
  <c r="H63" i="15"/>
  <c r="D63" i="15"/>
  <c r="B63" i="15"/>
  <c r="T62" i="15"/>
  <c r="P62" i="15"/>
  <c r="X62" i="15" s="1"/>
  <c r="Z62" i="15" s="1"/>
  <c r="H62" i="15"/>
  <c r="D62" i="15"/>
  <c r="L62" i="15" s="1"/>
  <c r="N62" i="15" s="1"/>
  <c r="B62" i="15"/>
  <c r="T61" i="15"/>
  <c r="P61" i="15"/>
  <c r="H61" i="15"/>
  <c r="N61" i="15" s="1"/>
  <c r="D61" i="15"/>
  <c r="L61" i="15" s="1"/>
  <c r="B61" i="15"/>
  <c r="X60" i="15"/>
  <c r="T60" i="15"/>
  <c r="P60" i="15"/>
  <c r="H60" i="15"/>
  <c r="N60" i="15" s="1"/>
  <c r="D60" i="15"/>
  <c r="L60" i="15" s="1"/>
  <c r="B60" i="15"/>
  <c r="Z59" i="15"/>
  <c r="X59" i="15"/>
  <c r="T59" i="15"/>
  <c r="P59" i="15"/>
  <c r="H59" i="15"/>
  <c r="D59" i="15"/>
  <c r="B59" i="15"/>
  <c r="T58" i="15"/>
  <c r="P58" i="15"/>
  <c r="X58" i="15" s="1"/>
  <c r="Z58" i="15" s="1"/>
  <c r="H58" i="15"/>
  <c r="D58" i="15"/>
  <c r="L58" i="15" s="1"/>
  <c r="N58" i="15" s="1"/>
  <c r="B58" i="15"/>
  <c r="T57" i="15"/>
  <c r="Z57" i="15" s="1"/>
  <c r="P57" i="15"/>
  <c r="X57" i="15" s="1"/>
  <c r="H57" i="15"/>
  <c r="D57" i="15"/>
  <c r="B57" i="15"/>
  <c r="T56" i="15"/>
  <c r="P56" i="15"/>
  <c r="X56" i="15" s="1"/>
  <c r="L56" i="15"/>
  <c r="H56" i="15"/>
  <c r="D56" i="15"/>
  <c r="B56" i="15"/>
  <c r="T55" i="15"/>
  <c r="Z55" i="15" s="1"/>
  <c r="P55" i="15"/>
  <c r="N55" i="15"/>
  <c r="L55" i="15"/>
  <c r="H55" i="15"/>
  <c r="D55" i="15"/>
  <c r="B55" i="15"/>
  <c r="T54" i="15"/>
  <c r="P54" i="15"/>
  <c r="X54" i="15" s="1"/>
  <c r="Z54" i="15" s="1"/>
  <c r="H54" i="15"/>
  <c r="D54" i="15"/>
  <c r="L54" i="15" s="1"/>
  <c r="N54" i="15" s="1"/>
  <c r="B54" i="15"/>
  <c r="T53" i="15"/>
  <c r="P53" i="15"/>
  <c r="H53" i="15"/>
  <c r="D53" i="15"/>
  <c r="L53" i="15" s="1"/>
  <c r="B53" i="15"/>
  <c r="X52" i="15"/>
  <c r="T52" i="15"/>
  <c r="Z52" i="15" s="1"/>
  <c r="P52" i="15"/>
  <c r="H52" i="15"/>
  <c r="N52" i="15" s="1"/>
  <c r="D52" i="15"/>
  <c r="L52" i="15" s="1"/>
  <c r="B52" i="15"/>
  <c r="Z51" i="15"/>
  <c r="X51" i="15"/>
  <c r="T51" i="15"/>
  <c r="P51" i="15"/>
  <c r="H51" i="15"/>
  <c r="D51" i="15"/>
  <c r="B51" i="15"/>
  <c r="T50" i="15"/>
  <c r="P50" i="15"/>
  <c r="X50" i="15" s="1"/>
  <c r="Z50" i="15" s="1"/>
  <c r="N50" i="15"/>
  <c r="H50" i="15"/>
  <c r="D50" i="15"/>
  <c r="L50" i="15" s="1"/>
  <c r="B50" i="15"/>
  <c r="T49" i="15"/>
  <c r="P49" i="15"/>
  <c r="X49" i="15" s="1"/>
  <c r="H49" i="15"/>
  <c r="D49" i="15"/>
  <c r="L49" i="15" s="1"/>
  <c r="B49" i="15"/>
  <c r="T48" i="15"/>
  <c r="P48" i="15"/>
  <c r="X48" i="15" s="1"/>
  <c r="L48" i="15"/>
  <c r="H48" i="15"/>
  <c r="D48" i="15"/>
  <c r="B48" i="15"/>
  <c r="T47" i="15"/>
  <c r="P47" i="15"/>
  <c r="N47" i="15"/>
  <c r="L47" i="15"/>
  <c r="H47" i="15"/>
  <c r="D47" i="15"/>
  <c r="B47" i="15"/>
  <c r="T46" i="15"/>
  <c r="P46" i="15"/>
  <c r="X46" i="15" s="1"/>
  <c r="Z46" i="15" s="1"/>
  <c r="N46" i="15"/>
  <c r="H46" i="15"/>
  <c r="D46" i="15"/>
  <c r="L46" i="15" s="1"/>
  <c r="B46" i="15"/>
  <c r="T45" i="15"/>
  <c r="P45" i="15"/>
  <c r="X45" i="15" s="1"/>
  <c r="H45" i="15"/>
  <c r="N45" i="15" s="1"/>
  <c r="D45" i="15"/>
  <c r="L45" i="15" s="1"/>
  <c r="B45" i="15"/>
  <c r="X44" i="15"/>
  <c r="T44" i="15"/>
  <c r="Z44" i="15" s="1"/>
  <c r="P44" i="15"/>
  <c r="H44" i="15"/>
  <c r="N44" i="15" s="1"/>
  <c r="D44" i="15"/>
  <c r="L44" i="15" s="1"/>
  <c r="B44" i="15"/>
  <c r="Z43" i="15"/>
  <c r="X43" i="15"/>
  <c r="T43" i="15"/>
  <c r="P43" i="15"/>
  <c r="H43" i="15"/>
  <c r="N43" i="15" s="1"/>
  <c r="D43" i="15"/>
  <c r="B43" i="15"/>
  <c r="T42" i="15"/>
  <c r="P42" i="15"/>
  <c r="X42" i="15" s="1"/>
  <c r="Z42" i="15" s="1"/>
  <c r="H42" i="15"/>
  <c r="D42" i="15"/>
  <c r="L42" i="15" s="1"/>
  <c r="N42" i="15" s="1"/>
  <c r="B42" i="15"/>
  <c r="T41" i="15"/>
  <c r="Z41" i="15" s="1"/>
  <c r="P41" i="15"/>
  <c r="X41" i="15" s="1"/>
  <c r="H41" i="15"/>
  <c r="D41" i="15"/>
  <c r="B41" i="15"/>
  <c r="T40" i="15"/>
  <c r="P40" i="15"/>
  <c r="X40" i="15" s="1"/>
  <c r="L40" i="15"/>
  <c r="H40" i="15"/>
  <c r="N40" i="15" s="1"/>
  <c r="D40" i="15"/>
  <c r="B40" i="15"/>
  <c r="T39" i="15"/>
  <c r="P39" i="15"/>
  <c r="N39" i="15"/>
  <c r="L39" i="15"/>
  <c r="H39" i="15"/>
  <c r="D39" i="15"/>
  <c r="B39" i="15"/>
  <c r="T38" i="15"/>
  <c r="P38" i="15"/>
  <c r="X38" i="15" s="1"/>
  <c r="Z38" i="15" s="1"/>
  <c r="H38" i="15"/>
  <c r="D38" i="15"/>
  <c r="L38" i="15" s="1"/>
  <c r="N38" i="15" s="1"/>
  <c r="B38" i="15"/>
  <c r="T37" i="15"/>
  <c r="P37" i="15"/>
  <c r="X37" i="15" s="1"/>
  <c r="H37" i="15"/>
  <c r="D37" i="15"/>
  <c r="L37" i="15" s="1"/>
  <c r="B37" i="15"/>
  <c r="X36" i="15"/>
  <c r="T36" i="15"/>
  <c r="P36" i="15"/>
  <c r="H36" i="15"/>
  <c r="D36" i="15"/>
  <c r="L36" i="15" s="1"/>
  <c r="B36" i="15"/>
  <c r="Z35" i="15"/>
  <c r="X35" i="15"/>
  <c r="T35" i="15"/>
  <c r="P35" i="15"/>
  <c r="H35" i="15"/>
  <c r="D35" i="15"/>
  <c r="B35" i="15"/>
  <c r="T34" i="15"/>
  <c r="P34" i="15"/>
  <c r="X34" i="15" s="1"/>
  <c r="Z34" i="15" s="1"/>
  <c r="H34" i="15"/>
  <c r="D34" i="15"/>
  <c r="L34" i="15" s="1"/>
  <c r="N34" i="15" s="1"/>
  <c r="B34" i="15"/>
  <c r="T33" i="15"/>
  <c r="P33" i="15"/>
  <c r="X33" i="15" s="1"/>
  <c r="H33" i="15"/>
  <c r="D33" i="15"/>
  <c r="B33" i="15"/>
  <c r="T32" i="15"/>
  <c r="P32" i="15"/>
  <c r="X32" i="15" s="1"/>
  <c r="L32" i="15"/>
  <c r="H32" i="15"/>
  <c r="D32" i="15"/>
  <c r="B32" i="15"/>
  <c r="T31" i="15"/>
  <c r="P31" i="15"/>
  <c r="N31" i="15"/>
  <c r="L31" i="15"/>
  <c r="H31" i="15"/>
  <c r="D31" i="15"/>
  <c r="B31" i="15"/>
  <c r="T30" i="15"/>
  <c r="P30" i="15"/>
  <c r="X30" i="15" s="1"/>
  <c r="Z30" i="15" s="1"/>
  <c r="H30" i="15"/>
  <c r="D30" i="15"/>
  <c r="L30" i="15" s="1"/>
  <c r="N30" i="15" s="1"/>
  <c r="B30" i="15"/>
  <c r="T29" i="15"/>
  <c r="P29" i="15"/>
  <c r="H29" i="15"/>
  <c r="D29" i="15"/>
  <c r="L29" i="15" s="1"/>
  <c r="B29" i="15"/>
  <c r="X28" i="15"/>
  <c r="T28" i="15"/>
  <c r="P28" i="15"/>
  <c r="H28" i="15"/>
  <c r="N28" i="15" s="1"/>
  <c r="D28" i="15"/>
  <c r="L28" i="15" s="1"/>
  <c r="B28" i="15"/>
  <c r="Z27" i="15"/>
  <c r="X27" i="15"/>
  <c r="T27" i="15"/>
  <c r="P27" i="15"/>
  <c r="H27" i="15"/>
  <c r="D27" i="15"/>
  <c r="B27" i="15"/>
  <c r="T26" i="15"/>
  <c r="P26" i="15"/>
  <c r="X26" i="15" s="1"/>
  <c r="Z26" i="15" s="1"/>
  <c r="H26" i="15"/>
  <c r="D26" i="15"/>
  <c r="L26" i="15" s="1"/>
  <c r="N26" i="15" s="1"/>
  <c r="B26" i="15"/>
  <c r="T25" i="15"/>
  <c r="Z25" i="15" s="1"/>
  <c r="P25" i="15"/>
  <c r="X25" i="15" s="1"/>
  <c r="H25" i="15"/>
  <c r="N25" i="15" s="1"/>
  <c r="D25" i="15"/>
  <c r="L25" i="15" s="1"/>
  <c r="B25" i="15"/>
  <c r="T24" i="15"/>
  <c r="P24" i="15"/>
  <c r="X24" i="15" s="1"/>
  <c r="L24" i="15"/>
  <c r="H24" i="15"/>
  <c r="N24" i="15" s="1"/>
  <c r="D24" i="15"/>
  <c r="B24" i="15"/>
  <c r="T23" i="15"/>
  <c r="P23" i="15"/>
  <c r="N23" i="15"/>
  <c r="L23" i="15"/>
  <c r="H23" i="15"/>
  <c r="D23" i="15"/>
  <c r="B23" i="15"/>
  <c r="T22" i="15"/>
  <c r="P22" i="15"/>
  <c r="X22" i="15" s="1"/>
  <c r="Z22" i="15" s="1"/>
  <c r="H22" i="15"/>
  <c r="D22" i="15"/>
  <c r="L22" i="15" s="1"/>
  <c r="N22" i="15" s="1"/>
  <c r="B22" i="15"/>
  <c r="T21" i="15"/>
  <c r="P21" i="15"/>
  <c r="X21" i="15" s="1"/>
  <c r="H21" i="15"/>
  <c r="D21" i="15"/>
  <c r="L21" i="15" s="1"/>
  <c r="B21" i="15"/>
  <c r="X20" i="15"/>
  <c r="T20" i="15"/>
  <c r="P20" i="15"/>
  <c r="H20" i="15"/>
  <c r="D20" i="15"/>
  <c r="L20" i="15" s="1"/>
  <c r="B20" i="15"/>
  <c r="Z19" i="15"/>
  <c r="X19" i="15"/>
  <c r="T19" i="15"/>
  <c r="P19" i="15"/>
  <c r="H19" i="15"/>
  <c r="D19" i="15"/>
  <c r="B19" i="15"/>
  <c r="T18" i="15"/>
  <c r="P18" i="15"/>
  <c r="X18" i="15" s="1"/>
  <c r="Z18" i="15" s="1"/>
  <c r="N18" i="15"/>
  <c r="H18" i="15"/>
  <c r="D18" i="15"/>
  <c r="B18" i="15"/>
  <c r="T17" i="15"/>
  <c r="P17" i="15"/>
  <c r="X17" i="15" s="1"/>
  <c r="H17" i="15"/>
  <c r="D17" i="15"/>
  <c r="L17" i="15" s="1"/>
  <c r="B17" i="15"/>
  <c r="T16" i="15"/>
  <c r="Z16" i="15" s="1"/>
  <c r="P16" i="15"/>
  <c r="X16" i="15" s="1"/>
  <c r="L16" i="15"/>
  <c r="H16" i="15"/>
  <c r="D16" i="15"/>
  <c r="B16" i="15"/>
  <c r="T15" i="15"/>
  <c r="P15" i="15"/>
  <c r="N15" i="15"/>
  <c r="L15" i="15"/>
  <c r="H15" i="15"/>
  <c r="D15" i="15"/>
  <c r="B15" i="15"/>
  <c r="T14" i="15"/>
  <c r="P14" i="15"/>
  <c r="X14" i="15" s="1"/>
  <c r="Z14" i="15" s="1"/>
  <c r="H14" i="15"/>
  <c r="D14" i="15"/>
  <c r="L14" i="15" s="1"/>
  <c r="N14" i="15" s="1"/>
  <c r="B14" i="15"/>
  <c r="T13" i="15"/>
  <c r="P13" i="15"/>
  <c r="H13" i="15"/>
  <c r="N13" i="15" s="1"/>
  <c r="D13" i="15"/>
  <c r="L13" i="15" s="1"/>
  <c r="B13" i="15"/>
  <c r="D4" i="15"/>
  <c r="B39" i="14"/>
  <c r="B38" i="14"/>
  <c r="T34" i="14"/>
  <c r="P34" i="14"/>
  <c r="H34" i="14"/>
  <c r="N34" i="14" s="1"/>
  <c r="D34" i="14"/>
  <c r="T33" i="14"/>
  <c r="Z33" i="14" s="1"/>
  <c r="P33" i="14"/>
  <c r="H33" i="14"/>
  <c r="N33" i="14" s="1"/>
  <c r="D33" i="14"/>
  <c r="T29" i="14"/>
  <c r="Z29" i="14" s="1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P20" i="14"/>
  <c r="H20" i="14"/>
  <c r="N20" i="14" s="1"/>
  <c r="D20" i="14"/>
  <c r="T16" i="14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V24" i="14" s="1"/>
  <c r="P12" i="14"/>
  <c r="R34" i="14" s="1"/>
  <c r="H12" i="14"/>
  <c r="J18" i="14" s="1"/>
  <c r="D12" i="14"/>
  <c r="F24" i="14" s="1"/>
  <c r="D5" i="14"/>
  <c r="D4" i="14"/>
  <c r="B39" i="13"/>
  <c r="B38" i="13"/>
  <c r="T34" i="13"/>
  <c r="Z34" i="13" s="1"/>
  <c r="P34" i="13"/>
  <c r="H34" i="13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V34" i="13" s="1"/>
  <c r="P12" i="13"/>
  <c r="R34" i="13" s="1"/>
  <c r="H12" i="13"/>
  <c r="J21" i="13" s="1"/>
  <c r="D12" i="13"/>
  <c r="F34" i="13" s="1"/>
  <c r="D5" i="13"/>
  <c r="D4" i="13"/>
  <c r="Z215" i="12"/>
  <c r="X215" i="12"/>
  <c r="N215" i="12"/>
  <c r="L215" i="12"/>
  <c r="T211" i="12"/>
  <c r="X211" i="12" s="1"/>
  <c r="Z211" i="12" s="1"/>
  <c r="P211" i="12"/>
  <c r="N211" i="12"/>
  <c r="H211" i="12"/>
  <c r="D211" i="12"/>
  <c r="L211" i="12" s="1"/>
  <c r="B211" i="12"/>
  <c r="T210" i="12"/>
  <c r="Z210" i="12" s="1"/>
  <c r="P210" i="12"/>
  <c r="X210" i="12" s="1"/>
  <c r="H210" i="12"/>
  <c r="D210" i="12"/>
  <c r="L210" i="12" s="1"/>
  <c r="N210" i="12" s="1"/>
  <c r="B210" i="12"/>
  <c r="Z209" i="12"/>
  <c r="X209" i="12"/>
  <c r="T209" i="12"/>
  <c r="P209" i="12"/>
  <c r="H209" i="12"/>
  <c r="L209" i="12" s="1"/>
  <c r="N209" i="12" s="1"/>
  <c r="D209" i="12"/>
  <c r="B209" i="12"/>
  <c r="T208" i="12"/>
  <c r="P208" i="12"/>
  <c r="P207" i="12" s="1"/>
  <c r="H208" i="12"/>
  <c r="D208" i="12"/>
  <c r="B208" i="12"/>
  <c r="Z205" i="12"/>
  <c r="X205" i="12"/>
  <c r="N205" i="12"/>
  <c r="L205" i="12"/>
  <c r="B205" i="12"/>
  <c r="X204" i="12"/>
  <c r="T204" i="12"/>
  <c r="P204" i="12"/>
  <c r="H204" i="12"/>
  <c r="D204" i="12"/>
  <c r="B204" i="12"/>
  <c r="X203" i="12"/>
  <c r="Z203" i="12" s="1"/>
  <c r="N203" i="12"/>
  <c r="L203" i="12"/>
  <c r="B203" i="12"/>
  <c r="X202" i="12"/>
  <c r="Z202" i="12" s="1"/>
  <c r="N202" i="12"/>
  <c r="L202" i="12"/>
  <c r="B202" i="12"/>
  <c r="Z201" i="12"/>
  <c r="X201" i="12"/>
  <c r="N201" i="12"/>
  <c r="L201" i="12"/>
  <c r="B201" i="12"/>
  <c r="X200" i="12"/>
  <c r="T200" i="12"/>
  <c r="P200" i="12"/>
  <c r="H200" i="12"/>
  <c r="D200" i="12"/>
  <c r="B200" i="12"/>
  <c r="X199" i="12"/>
  <c r="Z199" i="12" s="1"/>
  <c r="N199" i="12"/>
  <c r="L199" i="12"/>
  <c r="B199" i="12"/>
  <c r="T198" i="12"/>
  <c r="P198" i="12"/>
  <c r="H198" i="12"/>
  <c r="N198" i="12" s="1"/>
  <c r="D198" i="12"/>
  <c r="L198" i="12" s="1"/>
  <c r="B198" i="12"/>
  <c r="Z197" i="12"/>
  <c r="X197" i="12"/>
  <c r="N197" i="12"/>
  <c r="L197" i="12"/>
  <c r="B197" i="12"/>
  <c r="X196" i="12"/>
  <c r="Z196" i="12" s="1"/>
  <c r="L196" i="12"/>
  <c r="N196" i="12" s="1"/>
  <c r="B196" i="12"/>
  <c r="T195" i="12"/>
  <c r="P195" i="12"/>
  <c r="X195" i="12" s="1"/>
  <c r="Z195" i="12" s="1"/>
  <c r="H195" i="12"/>
  <c r="N195" i="12" s="1"/>
  <c r="D195" i="12"/>
  <c r="L195" i="12" s="1"/>
  <c r="B195" i="12"/>
  <c r="Z194" i="12"/>
  <c r="X194" i="12"/>
  <c r="L194" i="12"/>
  <c r="N194" i="12" s="1"/>
  <c r="B194" i="12"/>
  <c r="Z193" i="12"/>
  <c r="X193" i="12"/>
  <c r="N193" i="12"/>
  <c r="L193" i="12"/>
  <c r="B193" i="12"/>
  <c r="X192" i="12"/>
  <c r="Z192" i="12" s="1"/>
  <c r="N192" i="12"/>
  <c r="L192" i="12"/>
  <c r="B192" i="12"/>
  <c r="X191" i="12"/>
  <c r="Z191" i="12" s="1"/>
  <c r="N191" i="12"/>
  <c r="L191" i="12"/>
  <c r="B191" i="12"/>
  <c r="X190" i="12"/>
  <c r="Z190" i="12" s="1"/>
  <c r="N190" i="12"/>
  <c r="L190" i="12"/>
  <c r="B190" i="12"/>
  <c r="Z189" i="12"/>
  <c r="X189" i="12"/>
  <c r="N189" i="12"/>
  <c r="L189" i="12"/>
  <c r="B189" i="12"/>
  <c r="X188" i="12"/>
  <c r="Z188" i="12" s="1"/>
  <c r="L188" i="12"/>
  <c r="N188" i="12" s="1"/>
  <c r="B188" i="12"/>
  <c r="Z187" i="12"/>
  <c r="X187" i="12"/>
  <c r="T187" i="12"/>
  <c r="P187" i="12"/>
  <c r="H187" i="12"/>
  <c r="L187" i="12" s="1"/>
  <c r="N187" i="12" s="1"/>
  <c r="D187" i="12"/>
  <c r="B187" i="12"/>
  <c r="X186" i="12"/>
  <c r="Z186" i="12" s="1"/>
  <c r="N186" i="12"/>
  <c r="L186" i="12"/>
  <c r="B186" i="12"/>
  <c r="Z185" i="12"/>
  <c r="X185" i="12"/>
  <c r="N185" i="12"/>
  <c r="L185" i="12"/>
  <c r="B185" i="12"/>
  <c r="X184" i="12"/>
  <c r="T184" i="12"/>
  <c r="P184" i="12"/>
  <c r="H184" i="12"/>
  <c r="D184" i="12"/>
  <c r="B184" i="12"/>
  <c r="Z183" i="12"/>
  <c r="X183" i="12"/>
  <c r="N183" i="12"/>
  <c r="L183" i="12"/>
  <c r="B183" i="12"/>
  <c r="X182" i="12"/>
  <c r="Z182" i="12" s="1"/>
  <c r="N182" i="12"/>
  <c r="L182" i="12"/>
  <c r="B182" i="12"/>
  <c r="Z181" i="12"/>
  <c r="X181" i="12"/>
  <c r="N181" i="12"/>
  <c r="L181" i="12"/>
  <c r="B181" i="12"/>
  <c r="X180" i="12"/>
  <c r="Z180" i="12" s="1"/>
  <c r="N180" i="12"/>
  <c r="L180" i="12"/>
  <c r="B180" i="12"/>
  <c r="Z179" i="12"/>
  <c r="X179" i="12"/>
  <c r="L179" i="12"/>
  <c r="N179" i="12" s="1"/>
  <c r="B179" i="12"/>
  <c r="T178" i="12"/>
  <c r="P178" i="12"/>
  <c r="X178" i="12" s="1"/>
  <c r="Z178" i="12" s="1"/>
  <c r="L178" i="12"/>
  <c r="H178" i="12"/>
  <c r="D178" i="12"/>
  <c r="B178" i="12"/>
  <c r="Z177" i="12"/>
  <c r="X177" i="12"/>
  <c r="N177" i="12"/>
  <c r="L177" i="12"/>
  <c r="B177" i="12"/>
  <c r="Z176" i="12"/>
  <c r="X176" i="12"/>
  <c r="N176" i="12"/>
  <c r="L176" i="12"/>
  <c r="B176" i="12"/>
  <c r="Z175" i="12"/>
  <c r="X175" i="12"/>
  <c r="N175" i="12"/>
  <c r="L175" i="12"/>
  <c r="B175" i="12"/>
  <c r="T174" i="12"/>
  <c r="P174" i="12"/>
  <c r="X174" i="12" s="1"/>
  <c r="Z174" i="12" s="1"/>
  <c r="L174" i="12"/>
  <c r="H174" i="12"/>
  <c r="D174" i="12"/>
  <c r="B174" i="12"/>
  <c r="Z173" i="12"/>
  <c r="X173" i="12"/>
  <c r="N173" i="12"/>
  <c r="L173" i="12"/>
  <c r="B173" i="12"/>
  <c r="X172" i="12"/>
  <c r="Z172" i="12" s="1"/>
  <c r="L172" i="12"/>
  <c r="N172" i="12" s="1"/>
  <c r="B172" i="12"/>
  <c r="Z171" i="12"/>
  <c r="X171" i="12"/>
  <c r="L171" i="12"/>
  <c r="N171" i="12" s="1"/>
  <c r="B171" i="12"/>
  <c r="Z170" i="12"/>
  <c r="X170" i="12"/>
  <c r="N170" i="12"/>
  <c r="L170" i="12"/>
  <c r="B170" i="12"/>
  <c r="T169" i="12"/>
  <c r="Z169" i="12" s="1"/>
  <c r="P169" i="12"/>
  <c r="X169" i="12" s="1"/>
  <c r="N169" i="12"/>
  <c r="H169" i="12"/>
  <c r="D169" i="12"/>
  <c r="L169" i="12" s="1"/>
  <c r="B169" i="12"/>
  <c r="X168" i="12"/>
  <c r="Z168" i="12" s="1"/>
  <c r="L168" i="12"/>
  <c r="N168" i="12" s="1"/>
  <c r="B168" i="12"/>
  <c r="T167" i="12"/>
  <c r="P167" i="12"/>
  <c r="X167" i="12" s="1"/>
  <c r="Z167" i="12" s="1"/>
  <c r="H167" i="12"/>
  <c r="L167" i="12" s="1"/>
  <c r="N167" i="12" s="1"/>
  <c r="D167" i="12"/>
  <c r="B167" i="12"/>
  <c r="Z166" i="12"/>
  <c r="X166" i="12"/>
  <c r="N166" i="12"/>
  <c r="L166" i="12"/>
  <c r="B166" i="12"/>
  <c r="Z165" i="12"/>
  <c r="X165" i="12"/>
  <c r="N165" i="12"/>
  <c r="L165" i="12"/>
  <c r="B165" i="12"/>
  <c r="X164" i="12"/>
  <c r="T164" i="12"/>
  <c r="P164" i="12"/>
  <c r="H164" i="12"/>
  <c r="D164" i="12"/>
  <c r="B164" i="12"/>
  <c r="X163" i="12"/>
  <c r="Z163" i="12" s="1"/>
  <c r="N163" i="12"/>
  <c r="L163" i="12"/>
  <c r="B163" i="12"/>
  <c r="T162" i="12"/>
  <c r="P162" i="12"/>
  <c r="H162" i="12"/>
  <c r="N162" i="12" s="1"/>
  <c r="D162" i="12"/>
  <c r="L162" i="12" s="1"/>
  <c r="B162" i="12"/>
  <c r="Z161" i="12"/>
  <c r="X161" i="12"/>
  <c r="N161" i="12"/>
  <c r="L161" i="12"/>
  <c r="B161" i="12"/>
  <c r="T160" i="12"/>
  <c r="Z160" i="12" s="1"/>
  <c r="P160" i="12"/>
  <c r="X160" i="12" s="1"/>
  <c r="H160" i="12"/>
  <c r="D160" i="12"/>
  <c r="L160" i="12" s="1"/>
  <c r="N160" i="12" s="1"/>
  <c r="B160" i="12"/>
  <c r="Z159" i="12"/>
  <c r="X159" i="12"/>
  <c r="N159" i="12"/>
  <c r="L159" i="12"/>
  <c r="B159" i="12"/>
  <c r="T158" i="12"/>
  <c r="P158" i="12"/>
  <c r="X158" i="12" s="1"/>
  <c r="Z158" i="12" s="1"/>
  <c r="L158" i="12"/>
  <c r="H158" i="12"/>
  <c r="N158" i="12" s="1"/>
  <c r="D158" i="12"/>
  <c r="B158" i="12"/>
  <c r="Z157" i="12"/>
  <c r="X157" i="12"/>
  <c r="N157" i="12"/>
  <c r="L157" i="12"/>
  <c r="B157" i="12"/>
  <c r="X156" i="12"/>
  <c r="Z156" i="12" s="1"/>
  <c r="L156" i="12"/>
  <c r="N156" i="12" s="1"/>
  <c r="B156" i="12"/>
  <c r="Z155" i="12"/>
  <c r="T155" i="12"/>
  <c r="P155" i="12"/>
  <c r="X155" i="12" s="1"/>
  <c r="H155" i="12"/>
  <c r="L155" i="12" s="1"/>
  <c r="N155" i="12" s="1"/>
  <c r="D155" i="12"/>
  <c r="B155" i="12"/>
  <c r="X154" i="12"/>
  <c r="Z154" i="12" s="1"/>
  <c r="N154" i="12"/>
  <c r="L154" i="12"/>
  <c r="B154" i="12"/>
  <c r="T153" i="12"/>
  <c r="X153" i="12" s="1"/>
  <c r="Z153" i="12" s="1"/>
  <c r="P153" i="12"/>
  <c r="L153" i="12"/>
  <c r="N153" i="12" s="1"/>
  <c r="H153" i="12"/>
  <c r="D153" i="12"/>
  <c r="B153" i="12"/>
  <c r="X152" i="12"/>
  <c r="Z152" i="12" s="1"/>
  <c r="N152" i="12"/>
  <c r="L152" i="12"/>
  <c r="B152" i="12"/>
  <c r="X151" i="12"/>
  <c r="Z151" i="12" s="1"/>
  <c r="T151" i="12"/>
  <c r="P151" i="12"/>
  <c r="H151" i="12"/>
  <c r="N151" i="12" s="1"/>
  <c r="D151" i="12"/>
  <c r="L151" i="12" s="1"/>
  <c r="B151" i="12"/>
  <c r="Z150" i="12"/>
  <c r="X150" i="12"/>
  <c r="N150" i="12"/>
  <c r="L150" i="12"/>
  <c r="B150" i="12"/>
  <c r="Z149" i="12"/>
  <c r="X149" i="12"/>
  <c r="N149" i="12"/>
  <c r="L149" i="12"/>
  <c r="B149" i="12"/>
  <c r="T148" i="12"/>
  <c r="P148" i="12"/>
  <c r="X148" i="12" s="1"/>
  <c r="H148" i="12"/>
  <c r="D148" i="12"/>
  <c r="L148" i="12" s="1"/>
  <c r="N148" i="12" s="1"/>
  <c r="B148" i="12"/>
  <c r="Z147" i="12"/>
  <c r="X147" i="12"/>
  <c r="L147" i="12"/>
  <c r="N147" i="12" s="1"/>
  <c r="B147" i="12"/>
  <c r="Z146" i="12"/>
  <c r="X146" i="12"/>
  <c r="L146" i="12"/>
  <c r="N146" i="12" s="1"/>
  <c r="B146" i="12"/>
  <c r="T145" i="12"/>
  <c r="Z145" i="12" s="1"/>
  <c r="P145" i="12"/>
  <c r="X145" i="12" s="1"/>
  <c r="H145" i="12"/>
  <c r="D145" i="12"/>
  <c r="L145" i="12" s="1"/>
  <c r="N145" i="12" s="1"/>
  <c r="B145" i="12"/>
  <c r="X144" i="12"/>
  <c r="Z144" i="12" s="1"/>
  <c r="L144" i="12"/>
  <c r="N144" i="12" s="1"/>
  <c r="B144" i="12"/>
  <c r="T143" i="12"/>
  <c r="P143" i="12"/>
  <c r="X143" i="12" s="1"/>
  <c r="Z143" i="12" s="1"/>
  <c r="H143" i="12"/>
  <c r="L143" i="12" s="1"/>
  <c r="N143" i="12" s="1"/>
  <c r="D143" i="12"/>
  <c r="B143" i="12"/>
  <c r="X142" i="12"/>
  <c r="Z142" i="12" s="1"/>
  <c r="N142" i="12"/>
  <c r="L142" i="12"/>
  <c r="B142" i="12"/>
  <c r="T141" i="12"/>
  <c r="X141" i="12" s="1"/>
  <c r="Z141" i="12" s="1"/>
  <c r="P141" i="12"/>
  <c r="L141" i="12"/>
  <c r="N141" i="12" s="1"/>
  <c r="H141" i="12"/>
  <c r="D141" i="12"/>
  <c r="B141" i="12"/>
  <c r="X140" i="12"/>
  <c r="Z140" i="12" s="1"/>
  <c r="L140" i="12"/>
  <c r="N140" i="12" s="1"/>
  <c r="B140" i="12"/>
  <c r="X139" i="12"/>
  <c r="Z139" i="12" s="1"/>
  <c r="T139" i="12"/>
  <c r="P139" i="12"/>
  <c r="H139" i="12"/>
  <c r="N139" i="12" s="1"/>
  <c r="D139" i="12"/>
  <c r="L139" i="12" s="1"/>
  <c r="B139" i="12"/>
  <c r="Z138" i="12"/>
  <c r="X138" i="12"/>
  <c r="L138" i="12"/>
  <c r="N138" i="12" s="1"/>
  <c r="B138" i="12"/>
  <c r="Z137" i="12"/>
  <c r="X137" i="12"/>
  <c r="N137" i="12"/>
  <c r="L137" i="12"/>
  <c r="B137" i="12"/>
  <c r="X136" i="12"/>
  <c r="Z136" i="12" s="1"/>
  <c r="L136" i="12"/>
  <c r="N136" i="12" s="1"/>
  <c r="B136" i="12"/>
  <c r="X135" i="12"/>
  <c r="Z135" i="12" s="1"/>
  <c r="N135" i="12"/>
  <c r="L135" i="12"/>
  <c r="B135" i="12"/>
  <c r="X134" i="12"/>
  <c r="Z134" i="12" s="1"/>
  <c r="N134" i="12"/>
  <c r="L134" i="12"/>
  <c r="B134" i="12"/>
  <c r="Z133" i="12"/>
  <c r="X133" i="12"/>
  <c r="N133" i="12"/>
  <c r="L133" i="12"/>
  <c r="B133" i="12"/>
  <c r="X132" i="12"/>
  <c r="Z132" i="12" s="1"/>
  <c r="L132" i="12"/>
  <c r="N132" i="12" s="1"/>
  <c r="B132" i="12"/>
  <c r="Z131" i="12"/>
  <c r="T131" i="12"/>
  <c r="P131" i="12"/>
  <c r="X131" i="12" s="1"/>
  <c r="H131" i="12"/>
  <c r="L131" i="12" s="1"/>
  <c r="N131" i="12" s="1"/>
  <c r="D131" i="12"/>
  <c r="B131" i="12"/>
  <c r="X130" i="12"/>
  <c r="Z130" i="12" s="1"/>
  <c r="N130" i="12"/>
  <c r="L130" i="12"/>
  <c r="B130" i="12"/>
  <c r="Z129" i="12"/>
  <c r="X129" i="12"/>
  <c r="N129" i="12"/>
  <c r="L129" i="12"/>
  <c r="B129" i="12"/>
  <c r="X128" i="12"/>
  <c r="Z128" i="12" s="1"/>
  <c r="L128" i="12"/>
  <c r="N128" i="12" s="1"/>
  <c r="B128" i="12"/>
  <c r="Z127" i="12"/>
  <c r="X127" i="12"/>
  <c r="L127" i="12"/>
  <c r="N127" i="12" s="1"/>
  <c r="B127" i="12"/>
  <c r="Z126" i="12"/>
  <c r="X126" i="12"/>
  <c r="N126" i="12"/>
  <c r="L126" i="12"/>
  <c r="B126" i="12"/>
  <c r="Z125" i="12"/>
  <c r="X125" i="12"/>
  <c r="N125" i="12"/>
  <c r="L125" i="12"/>
  <c r="B125" i="12"/>
  <c r="X124" i="12"/>
  <c r="Z124" i="12" s="1"/>
  <c r="L124" i="12"/>
  <c r="N124" i="12" s="1"/>
  <c r="B124" i="12"/>
  <c r="X123" i="12"/>
  <c r="Z123" i="12" s="1"/>
  <c r="N123" i="12"/>
  <c r="L123" i="12"/>
  <c r="B123" i="12"/>
  <c r="X122" i="12"/>
  <c r="Z122" i="12" s="1"/>
  <c r="N122" i="12"/>
  <c r="L122" i="12"/>
  <c r="B122" i="12"/>
  <c r="Z121" i="12"/>
  <c r="X121" i="12"/>
  <c r="N121" i="12"/>
  <c r="L121" i="12"/>
  <c r="B121" i="12"/>
  <c r="X120" i="12"/>
  <c r="T120" i="12"/>
  <c r="P120" i="12"/>
  <c r="H120" i="12"/>
  <c r="D120" i="12"/>
  <c r="B120" i="12"/>
  <c r="T119" i="12"/>
  <c r="Z119" i="12" s="1"/>
  <c r="P119" i="12"/>
  <c r="X119" i="12" s="1"/>
  <c r="H119" i="12"/>
  <c r="D119" i="12"/>
  <c r="L119" i="12" s="1"/>
  <c r="Z115" i="12"/>
  <c r="X115" i="12"/>
  <c r="N115" i="12"/>
  <c r="L115" i="12"/>
  <c r="B115" i="12"/>
  <c r="Z114" i="12"/>
  <c r="X114" i="12"/>
  <c r="N114" i="12"/>
  <c r="L114" i="12"/>
  <c r="B114" i="12"/>
  <c r="Z113" i="12"/>
  <c r="X113" i="12"/>
  <c r="N113" i="12"/>
  <c r="L113" i="12"/>
  <c r="B113" i="12"/>
  <c r="X112" i="12"/>
  <c r="Z112" i="12" s="1"/>
  <c r="L112" i="12"/>
  <c r="N112" i="12" s="1"/>
  <c r="B112" i="12"/>
  <c r="Z111" i="12"/>
  <c r="X111" i="12"/>
  <c r="L111" i="12"/>
  <c r="N111" i="12" s="1"/>
  <c r="B111" i="12"/>
  <c r="Z110" i="12"/>
  <c r="X110" i="12"/>
  <c r="N110" i="12"/>
  <c r="L110" i="12"/>
  <c r="B110" i="12"/>
  <c r="Z109" i="12"/>
  <c r="X109" i="12"/>
  <c r="N109" i="12"/>
  <c r="L109" i="12"/>
  <c r="B109" i="12"/>
  <c r="X108" i="12"/>
  <c r="Z108" i="12" s="1"/>
  <c r="L108" i="12"/>
  <c r="N108" i="12" s="1"/>
  <c r="B108" i="12"/>
  <c r="Z107" i="12"/>
  <c r="X107" i="12"/>
  <c r="N107" i="12"/>
  <c r="L107" i="12"/>
  <c r="B107" i="12"/>
  <c r="Z106" i="12"/>
  <c r="X106" i="12"/>
  <c r="N106" i="12"/>
  <c r="L106" i="12"/>
  <c r="B106" i="12"/>
  <c r="Z105" i="12"/>
  <c r="X105" i="12"/>
  <c r="N105" i="12"/>
  <c r="L105" i="12"/>
  <c r="B105" i="12"/>
  <c r="X104" i="12"/>
  <c r="Z104" i="12" s="1"/>
  <c r="L104" i="12"/>
  <c r="N104" i="12" s="1"/>
  <c r="B104" i="12"/>
  <c r="Z103" i="12"/>
  <c r="X103" i="12"/>
  <c r="L103" i="12"/>
  <c r="N103" i="12" s="1"/>
  <c r="B103" i="12"/>
  <c r="Z102" i="12"/>
  <c r="X102" i="12"/>
  <c r="N102" i="12"/>
  <c r="L102" i="12"/>
  <c r="B102" i="12"/>
  <c r="Z101" i="12"/>
  <c r="X101" i="12"/>
  <c r="N101" i="12"/>
  <c r="L101" i="12"/>
  <c r="B101" i="12"/>
  <c r="X100" i="12"/>
  <c r="Z100" i="12" s="1"/>
  <c r="L100" i="12"/>
  <c r="N100" i="12" s="1"/>
  <c r="B100" i="12"/>
  <c r="Z99" i="12"/>
  <c r="X99" i="12"/>
  <c r="N99" i="12"/>
  <c r="L99" i="12"/>
  <c r="B99" i="12"/>
  <c r="Z98" i="12"/>
  <c r="X98" i="12"/>
  <c r="N98" i="12"/>
  <c r="L98" i="12"/>
  <c r="B98" i="12"/>
  <c r="Z97" i="12"/>
  <c r="X97" i="12"/>
  <c r="N97" i="12"/>
  <c r="L97" i="12"/>
  <c r="B97" i="12"/>
  <c r="X96" i="12"/>
  <c r="Z96" i="12" s="1"/>
  <c r="L96" i="12"/>
  <c r="N96" i="12" s="1"/>
  <c r="B96" i="12"/>
  <c r="Z95" i="12"/>
  <c r="X95" i="12"/>
  <c r="N95" i="12"/>
  <c r="L95" i="12"/>
  <c r="B95" i="12"/>
  <c r="Z94" i="12"/>
  <c r="X94" i="12"/>
  <c r="N94" i="12"/>
  <c r="L94" i="12"/>
  <c r="B94" i="12"/>
  <c r="Z93" i="12"/>
  <c r="X93" i="12"/>
  <c r="N93" i="12"/>
  <c r="L93" i="12"/>
  <c r="B93" i="12"/>
  <c r="X92" i="12"/>
  <c r="Z92" i="12" s="1"/>
  <c r="L92" i="12"/>
  <c r="N92" i="12" s="1"/>
  <c r="B92" i="12"/>
  <c r="X91" i="12"/>
  <c r="Z91" i="12" s="1"/>
  <c r="N91" i="12"/>
  <c r="L91" i="12"/>
  <c r="B91" i="12"/>
  <c r="Z90" i="12"/>
  <c r="X90" i="12"/>
  <c r="N90" i="12"/>
  <c r="L90" i="12"/>
  <c r="B90" i="12"/>
  <c r="Z89" i="12"/>
  <c r="X89" i="12"/>
  <c r="N89" i="12"/>
  <c r="L89" i="12"/>
  <c r="B89" i="12"/>
  <c r="X88" i="12"/>
  <c r="Z88" i="12" s="1"/>
  <c r="N88" i="12"/>
  <c r="L88" i="12"/>
  <c r="B88" i="12"/>
  <c r="Z87" i="12"/>
  <c r="X87" i="12"/>
  <c r="N87" i="12"/>
  <c r="L87" i="12"/>
  <c r="B87" i="12"/>
  <c r="Z86" i="12"/>
  <c r="X86" i="12"/>
  <c r="N86" i="12"/>
  <c r="L86" i="12"/>
  <c r="B86" i="12"/>
  <c r="Z85" i="12"/>
  <c r="X85" i="12"/>
  <c r="N85" i="12"/>
  <c r="L85" i="12"/>
  <c r="B85" i="12"/>
  <c r="X84" i="12"/>
  <c r="Z84" i="12" s="1"/>
  <c r="L84" i="12"/>
  <c r="N84" i="12" s="1"/>
  <c r="B84" i="12"/>
  <c r="X83" i="12"/>
  <c r="Z83" i="12" s="1"/>
  <c r="N83" i="12"/>
  <c r="L83" i="12"/>
  <c r="B83" i="12"/>
  <c r="Z82" i="12"/>
  <c r="X82" i="12"/>
  <c r="N82" i="12"/>
  <c r="L82" i="12"/>
  <c r="B82" i="12"/>
  <c r="Z81" i="12"/>
  <c r="X81" i="12"/>
  <c r="N81" i="12"/>
  <c r="L81" i="12"/>
  <c r="B81" i="12"/>
  <c r="Z80" i="12"/>
  <c r="X80" i="12"/>
  <c r="N80" i="12"/>
  <c r="L80" i="12"/>
  <c r="B80" i="12"/>
  <c r="Z79" i="12"/>
  <c r="T79" i="12"/>
  <c r="P79" i="12"/>
  <c r="X79" i="12" s="1"/>
  <c r="H79" i="12"/>
  <c r="L79" i="12" s="1"/>
  <c r="N79" i="12" s="1"/>
  <c r="D79" i="12"/>
  <c r="X77" i="12"/>
  <c r="T77" i="12"/>
  <c r="Z77" i="12" s="1"/>
  <c r="P77" i="12"/>
  <c r="N77" i="12"/>
  <c r="L77" i="12"/>
  <c r="H77" i="12"/>
  <c r="D77" i="12"/>
  <c r="B77" i="12"/>
  <c r="T76" i="12"/>
  <c r="P76" i="12"/>
  <c r="X76" i="12" s="1"/>
  <c r="Z76" i="12" s="1"/>
  <c r="N76" i="12"/>
  <c r="L76" i="12"/>
  <c r="H76" i="12"/>
  <c r="D76" i="12"/>
  <c r="B76" i="12"/>
  <c r="T75" i="12"/>
  <c r="P75" i="12"/>
  <c r="X75" i="12" s="1"/>
  <c r="H75" i="12"/>
  <c r="D75" i="12"/>
  <c r="L75" i="12" s="1"/>
  <c r="N75" i="12" s="1"/>
  <c r="B75" i="12"/>
  <c r="X74" i="12"/>
  <c r="T74" i="12"/>
  <c r="P74" i="12"/>
  <c r="H74" i="12"/>
  <c r="D74" i="12"/>
  <c r="L74" i="12" s="1"/>
  <c r="B74" i="12"/>
  <c r="Z73" i="12"/>
  <c r="X73" i="12"/>
  <c r="T73" i="12"/>
  <c r="P73" i="12"/>
  <c r="L73" i="12"/>
  <c r="H73" i="12"/>
  <c r="N73" i="12" s="1"/>
  <c r="D73" i="12"/>
  <c r="B73" i="12"/>
  <c r="Z72" i="12"/>
  <c r="X72" i="12"/>
  <c r="T72" i="12"/>
  <c r="P72" i="12"/>
  <c r="H72" i="12"/>
  <c r="D72" i="12"/>
  <c r="L72" i="12" s="1"/>
  <c r="N72" i="12" s="1"/>
  <c r="B72" i="12"/>
  <c r="Z71" i="12"/>
  <c r="T71" i="12"/>
  <c r="P71" i="12"/>
  <c r="X71" i="12" s="1"/>
  <c r="H71" i="12"/>
  <c r="N71" i="12" s="1"/>
  <c r="D71" i="12"/>
  <c r="B71" i="12"/>
  <c r="T70" i="12"/>
  <c r="P70" i="12"/>
  <c r="X70" i="12" s="1"/>
  <c r="L70" i="12"/>
  <c r="H70" i="12"/>
  <c r="D70" i="12"/>
  <c r="B70" i="12"/>
  <c r="X69" i="12"/>
  <c r="T69" i="12"/>
  <c r="Z69" i="12" s="1"/>
  <c r="P69" i="12"/>
  <c r="N69" i="12"/>
  <c r="L69" i="12"/>
  <c r="H69" i="12"/>
  <c r="D69" i="12"/>
  <c r="B69" i="12"/>
  <c r="T68" i="12"/>
  <c r="P68" i="12"/>
  <c r="X68" i="12" s="1"/>
  <c r="Z68" i="12" s="1"/>
  <c r="N68" i="12"/>
  <c r="L68" i="12"/>
  <c r="H68" i="12"/>
  <c r="D68" i="12"/>
  <c r="B68" i="12"/>
  <c r="T67" i="12"/>
  <c r="P67" i="12"/>
  <c r="H67" i="12"/>
  <c r="D67" i="12"/>
  <c r="L67" i="12" s="1"/>
  <c r="N67" i="12" s="1"/>
  <c r="B67" i="12"/>
  <c r="X66" i="12"/>
  <c r="T66" i="12"/>
  <c r="P66" i="12"/>
  <c r="H66" i="12"/>
  <c r="N66" i="12" s="1"/>
  <c r="D66" i="12"/>
  <c r="L66" i="12" s="1"/>
  <c r="B66" i="12"/>
  <c r="Z65" i="12"/>
  <c r="X65" i="12"/>
  <c r="T65" i="12"/>
  <c r="P65" i="12"/>
  <c r="L65" i="12"/>
  <c r="H65" i="12"/>
  <c r="N65" i="12" s="1"/>
  <c r="D65" i="12"/>
  <c r="B65" i="12"/>
  <c r="Z64" i="12"/>
  <c r="X64" i="12"/>
  <c r="T64" i="12"/>
  <c r="P64" i="12"/>
  <c r="H64" i="12"/>
  <c r="D64" i="12"/>
  <c r="L64" i="12" s="1"/>
  <c r="N64" i="12" s="1"/>
  <c r="B64" i="12"/>
  <c r="T63" i="12"/>
  <c r="P63" i="12"/>
  <c r="X63" i="12" s="1"/>
  <c r="Z63" i="12" s="1"/>
  <c r="H63" i="12"/>
  <c r="D63" i="12"/>
  <c r="B63" i="12"/>
  <c r="T62" i="12"/>
  <c r="P62" i="12"/>
  <c r="X62" i="12" s="1"/>
  <c r="L62" i="12"/>
  <c r="H62" i="12"/>
  <c r="D62" i="12"/>
  <c r="B62" i="12"/>
  <c r="X61" i="12"/>
  <c r="T61" i="12"/>
  <c r="Z61" i="12" s="1"/>
  <c r="P61" i="12"/>
  <c r="N61" i="12"/>
  <c r="L61" i="12"/>
  <c r="H61" i="12"/>
  <c r="D61" i="12"/>
  <c r="B61" i="12"/>
  <c r="T60" i="12"/>
  <c r="P60" i="12"/>
  <c r="X60" i="12" s="1"/>
  <c r="Z60" i="12" s="1"/>
  <c r="N60" i="12"/>
  <c r="L60" i="12"/>
  <c r="H60" i="12"/>
  <c r="D60" i="12"/>
  <c r="B60" i="12"/>
  <c r="T59" i="12"/>
  <c r="P59" i="12"/>
  <c r="H59" i="12"/>
  <c r="D59" i="12"/>
  <c r="L59" i="12" s="1"/>
  <c r="N59" i="12" s="1"/>
  <c r="B59" i="12"/>
  <c r="X58" i="12"/>
  <c r="T58" i="12"/>
  <c r="Z58" i="12" s="1"/>
  <c r="P58" i="12"/>
  <c r="H58" i="12"/>
  <c r="N58" i="12" s="1"/>
  <c r="D58" i="12"/>
  <c r="L58" i="12" s="1"/>
  <c r="B58" i="12"/>
  <c r="Z57" i="12"/>
  <c r="X57" i="12"/>
  <c r="T57" i="12"/>
  <c r="P57" i="12"/>
  <c r="L57" i="12"/>
  <c r="H57" i="12"/>
  <c r="N57" i="12" s="1"/>
  <c r="D57" i="12"/>
  <c r="B57" i="12"/>
  <c r="Z56" i="12"/>
  <c r="X56" i="12"/>
  <c r="T56" i="12"/>
  <c r="P56" i="12"/>
  <c r="H56" i="12"/>
  <c r="D56" i="12"/>
  <c r="L56" i="12" s="1"/>
  <c r="N56" i="12" s="1"/>
  <c r="B56" i="12"/>
  <c r="T55" i="12"/>
  <c r="P55" i="12"/>
  <c r="X55" i="12" s="1"/>
  <c r="Z55" i="12" s="1"/>
  <c r="H55" i="12"/>
  <c r="D55" i="12"/>
  <c r="B55" i="12"/>
  <c r="T54" i="12"/>
  <c r="P54" i="12"/>
  <c r="X54" i="12" s="1"/>
  <c r="L54" i="12"/>
  <c r="H54" i="12"/>
  <c r="N54" i="12" s="1"/>
  <c r="D54" i="12"/>
  <c r="B54" i="12"/>
  <c r="X53" i="12"/>
  <c r="T53" i="12"/>
  <c r="Z53" i="12" s="1"/>
  <c r="P53" i="12"/>
  <c r="N53" i="12"/>
  <c r="L53" i="12"/>
  <c r="H53" i="12"/>
  <c r="D53" i="12"/>
  <c r="B53" i="12"/>
  <c r="T52" i="12"/>
  <c r="P52" i="12"/>
  <c r="X52" i="12" s="1"/>
  <c r="Z52" i="12" s="1"/>
  <c r="N52" i="12"/>
  <c r="L52" i="12"/>
  <c r="H52" i="12"/>
  <c r="D52" i="12"/>
  <c r="B52" i="12"/>
  <c r="T51" i="12"/>
  <c r="P51" i="12"/>
  <c r="H51" i="12"/>
  <c r="D51" i="12"/>
  <c r="L51" i="12" s="1"/>
  <c r="N51" i="12" s="1"/>
  <c r="B51" i="12"/>
  <c r="X50" i="12"/>
  <c r="T50" i="12"/>
  <c r="P50" i="12"/>
  <c r="H50" i="12"/>
  <c r="N50" i="12" s="1"/>
  <c r="D50" i="12"/>
  <c r="L50" i="12" s="1"/>
  <c r="B50" i="12"/>
  <c r="Z49" i="12"/>
  <c r="X49" i="12"/>
  <c r="T49" i="12"/>
  <c r="P49" i="12"/>
  <c r="L49" i="12"/>
  <c r="H49" i="12"/>
  <c r="N49" i="12" s="1"/>
  <c r="D49" i="12"/>
  <c r="B49" i="12"/>
  <c r="Z48" i="12"/>
  <c r="X48" i="12"/>
  <c r="T48" i="12"/>
  <c r="P48" i="12"/>
  <c r="N48" i="12"/>
  <c r="H48" i="12"/>
  <c r="D48" i="12"/>
  <c r="L48" i="12" s="1"/>
  <c r="B48" i="12"/>
  <c r="T47" i="12"/>
  <c r="P47" i="12"/>
  <c r="X47" i="12" s="1"/>
  <c r="Z47" i="12" s="1"/>
  <c r="H47" i="12"/>
  <c r="N47" i="12" s="1"/>
  <c r="D47" i="12"/>
  <c r="B47" i="12"/>
  <c r="T46" i="12"/>
  <c r="Z46" i="12" s="1"/>
  <c r="P46" i="12"/>
  <c r="X46" i="12" s="1"/>
  <c r="L46" i="12"/>
  <c r="H46" i="12"/>
  <c r="N46" i="12" s="1"/>
  <c r="D46" i="12"/>
  <c r="B46" i="12"/>
  <c r="X45" i="12"/>
  <c r="T45" i="12"/>
  <c r="Z45" i="12" s="1"/>
  <c r="P45" i="12"/>
  <c r="N45" i="12"/>
  <c r="L45" i="12"/>
  <c r="H45" i="12"/>
  <c r="D45" i="12"/>
  <c r="B45" i="12"/>
  <c r="T44" i="12"/>
  <c r="P44" i="12"/>
  <c r="X44" i="12" s="1"/>
  <c r="Z44" i="12" s="1"/>
  <c r="N44" i="12"/>
  <c r="L44" i="12"/>
  <c r="H44" i="12"/>
  <c r="D44" i="12"/>
  <c r="B44" i="12"/>
  <c r="T43" i="12"/>
  <c r="P43" i="12"/>
  <c r="H43" i="12"/>
  <c r="D43" i="12"/>
  <c r="L43" i="12" s="1"/>
  <c r="N43" i="12" s="1"/>
  <c r="B43" i="12"/>
  <c r="X42" i="12"/>
  <c r="T42" i="12"/>
  <c r="Z42" i="12" s="1"/>
  <c r="P42" i="12"/>
  <c r="H42" i="12"/>
  <c r="N42" i="12" s="1"/>
  <c r="D42" i="12"/>
  <c r="L42" i="12" s="1"/>
  <c r="B42" i="12"/>
  <c r="Z41" i="12"/>
  <c r="X41" i="12"/>
  <c r="T41" i="12"/>
  <c r="P41" i="12"/>
  <c r="L41" i="12"/>
  <c r="H41" i="12"/>
  <c r="N41" i="12" s="1"/>
  <c r="D41" i="12"/>
  <c r="B41" i="12"/>
  <c r="Z40" i="12"/>
  <c r="X40" i="12"/>
  <c r="T40" i="12"/>
  <c r="P40" i="12"/>
  <c r="H40" i="12"/>
  <c r="D40" i="12"/>
  <c r="L40" i="12" s="1"/>
  <c r="N40" i="12" s="1"/>
  <c r="B40" i="12"/>
  <c r="T39" i="12"/>
  <c r="P39" i="12"/>
  <c r="X39" i="12" s="1"/>
  <c r="Z39" i="12" s="1"/>
  <c r="H39" i="12"/>
  <c r="D39" i="12"/>
  <c r="B39" i="12"/>
  <c r="T38" i="12"/>
  <c r="Z38" i="12" s="1"/>
  <c r="P38" i="12"/>
  <c r="X38" i="12" s="1"/>
  <c r="L38" i="12"/>
  <c r="H38" i="12"/>
  <c r="D38" i="12"/>
  <c r="B38" i="12"/>
  <c r="X37" i="12"/>
  <c r="T37" i="12"/>
  <c r="Z37" i="12" s="1"/>
  <c r="P37" i="12"/>
  <c r="N37" i="12"/>
  <c r="L37" i="12"/>
  <c r="H37" i="12"/>
  <c r="D37" i="12"/>
  <c r="B37" i="12"/>
  <c r="T36" i="12"/>
  <c r="P36" i="12"/>
  <c r="X36" i="12" s="1"/>
  <c r="Z36" i="12" s="1"/>
  <c r="N36" i="12"/>
  <c r="L36" i="12"/>
  <c r="H36" i="12"/>
  <c r="D36" i="12"/>
  <c r="B36" i="12"/>
  <c r="T35" i="12"/>
  <c r="P35" i="12"/>
  <c r="H35" i="12"/>
  <c r="D35" i="12"/>
  <c r="L35" i="12" s="1"/>
  <c r="N35" i="12" s="1"/>
  <c r="B35" i="12"/>
  <c r="X34" i="12"/>
  <c r="T34" i="12"/>
  <c r="P34" i="12"/>
  <c r="H34" i="12"/>
  <c r="N34" i="12" s="1"/>
  <c r="D34" i="12"/>
  <c r="L34" i="12" s="1"/>
  <c r="B34" i="12"/>
  <c r="Z33" i="12"/>
  <c r="X33" i="12"/>
  <c r="T33" i="12"/>
  <c r="P33" i="12"/>
  <c r="L33" i="12"/>
  <c r="H33" i="12"/>
  <c r="N33" i="12" s="1"/>
  <c r="D33" i="12"/>
  <c r="B33" i="12"/>
  <c r="Z32" i="12"/>
  <c r="X32" i="12"/>
  <c r="T32" i="12"/>
  <c r="P32" i="12"/>
  <c r="H32" i="12"/>
  <c r="D32" i="12"/>
  <c r="L32" i="12" s="1"/>
  <c r="N32" i="12" s="1"/>
  <c r="B32" i="12"/>
  <c r="T31" i="12"/>
  <c r="P31" i="12"/>
  <c r="X31" i="12" s="1"/>
  <c r="Z31" i="12" s="1"/>
  <c r="H31" i="12"/>
  <c r="D31" i="12"/>
  <c r="B31" i="12"/>
  <c r="T30" i="12"/>
  <c r="Z30" i="12" s="1"/>
  <c r="P30" i="12"/>
  <c r="X30" i="12" s="1"/>
  <c r="L30" i="12"/>
  <c r="H30" i="12"/>
  <c r="N30" i="12" s="1"/>
  <c r="D30" i="12"/>
  <c r="B30" i="12"/>
  <c r="X29" i="12"/>
  <c r="T29" i="12"/>
  <c r="Z29" i="12" s="1"/>
  <c r="P29" i="12"/>
  <c r="N29" i="12"/>
  <c r="L29" i="12"/>
  <c r="H29" i="12"/>
  <c r="D29" i="12"/>
  <c r="B29" i="12"/>
  <c r="T28" i="12"/>
  <c r="P28" i="12"/>
  <c r="X28" i="12" s="1"/>
  <c r="Z28" i="12" s="1"/>
  <c r="N28" i="12"/>
  <c r="L28" i="12"/>
  <c r="H28" i="12"/>
  <c r="D28" i="12"/>
  <c r="B28" i="12"/>
  <c r="T27" i="12"/>
  <c r="P27" i="12"/>
  <c r="H27" i="12"/>
  <c r="D27" i="12"/>
  <c r="L27" i="12" s="1"/>
  <c r="N27" i="12" s="1"/>
  <c r="B27" i="12"/>
  <c r="X26" i="12"/>
  <c r="T26" i="12"/>
  <c r="Z26" i="12" s="1"/>
  <c r="P26" i="12"/>
  <c r="H26" i="12"/>
  <c r="N26" i="12" s="1"/>
  <c r="D26" i="12"/>
  <c r="L26" i="12" s="1"/>
  <c r="B26" i="12"/>
  <c r="Z25" i="12"/>
  <c r="X25" i="12"/>
  <c r="T25" i="12"/>
  <c r="P25" i="12"/>
  <c r="L25" i="12"/>
  <c r="H25" i="12"/>
  <c r="N25" i="12" s="1"/>
  <c r="D25" i="12"/>
  <c r="B25" i="12"/>
  <c r="Z24" i="12"/>
  <c r="X24" i="12"/>
  <c r="T24" i="12"/>
  <c r="P24" i="12"/>
  <c r="H24" i="12"/>
  <c r="D24" i="12"/>
  <c r="L24" i="12" s="1"/>
  <c r="N24" i="12" s="1"/>
  <c r="B24" i="12"/>
  <c r="T23" i="12"/>
  <c r="P23" i="12"/>
  <c r="X23" i="12" s="1"/>
  <c r="Z23" i="12" s="1"/>
  <c r="H23" i="12"/>
  <c r="D23" i="12"/>
  <c r="B23" i="12"/>
  <c r="T22" i="12"/>
  <c r="Z22" i="12" s="1"/>
  <c r="P22" i="12"/>
  <c r="X22" i="12" s="1"/>
  <c r="L22" i="12"/>
  <c r="H22" i="12"/>
  <c r="N22" i="12" s="1"/>
  <c r="D22" i="12"/>
  <c r="B22" i="12"/>
  <c r="X21" i="12"/>
  <c r="T21" i="12"/>
  <c r="Z21" i="12" s="1"/>
  <c r="P21" i="12"/>
  <c r="N21" i="12"/>
  <c r="L21" i="12"/>
  <c r="H21" i="12"/>
  <c r="D21" i="12"/>
  <c r="B21" i="12"/>
  <c r="T20" i="12"/>
  <c r="P20" i="12"/>
  <c r="X20" i="12" s="1"/>
  <c r="Z20" i="12" s="1"/>
  <c r="N20" i="12"/>
  <c r="L20" i="12"/>
  <c r="H20" i="12"/>
  <c r="D20" i="12"/>
  <c r="B20" i="12"/>
  <c r="T19" i="12"/>
  <c r="P19" i="12"/>
  <c r="H19" i="12"/>
  <c r="D19" i="12"/>
  <c r="L19" i="12" s="1"/>
  <c r="N19" i="12" s="1"/>
  <c r="B19" i="12"/>
  <c r="X18" i="12"/>
  <c r="T18" i="12"/>
  <c r="Z18" i="12" s="1"/>
  <c r="P18" i="12"/>
  <c r="H18" i="12"/>
  <c r="N18" i="12" s="1"/>
  <c r="D18" i="12"/>
  <c r="L18" i="12" s="1"/>
  <c r="B18" i="12"/>
  <c r="Z17" i="12"/>
  <c r="X17" i="12"/>
  <c r="T17" i="12"/>
  <c r="P17" i="12"/>
  <c r="L17" i="12"/>
  <c r="H17" i="12"/>
  <c r="N17" i="12" s="1"/>
  <c r="D17" i="12"/>
  <c r="B17" i="12"/>
  <c r="Z16" i="12"/>
  <c r="X16" i="12"/>
  <c r="T16" i="12"/>
  <c r="P16" i="12"/>
  <c r="H16" i="12"/>
  <c r="D16" i="12"/>
  <c r="L16" i="12" s="1"/>
  <c r="N16" i="12" s="1"/>
  <c r="B16" i="12"/>
  <c r="T15" i="12"/>
  <c r="P15" i="12"/>
  <c r="X15" i="12" s="1"/>
  <c r="Z15" i="12" s="1"/>
  <c r="H15" i="12"/>
  <c r="D15" i="12"/>
  <c r="B15" i="12"/>
  <c r="T14" i="12"/>
  <c r="Z14" i="12" s="1"/>
  <c r="P14" i="12"/>
  <c r="X14" i="12" s="1"/>
  <c r="L14" i="12"/>
  <c r="H14" i="12"/>
  <c r="N14" i="12" s="1"/>
  <c r="D14" i="12"/>
  <c r="D12" i="12" s="1"/>
  <c r="F150" i="12" s="1"/>
  <c r="B14" i="12"/>
  <c r="X13" i="12"/>
  <c r="T13" i="12"/>
  <c r="Z13" i="12" s="1"/>
  <c r="P13" i="12"/>
  <c r="N13" i="12"/>
  <c r="L13" i="12"/>
  <c r="H13" i="12"/>
  <c r="D13" i="12"/>
  <c r="B13" i="12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V36" i="11" s="1"/>
  <c r="P12" i="11"/>
  <c r="R31" i="11" s="1"/>
  <c r="H12" i="11"/>
  <c r="J20" i="11" s="1"/>
  <c r="D12" i="11"/>
  <c r="F36" i="11" s="1"/>
  <c r="D5" i="11"/>
  <c r="D4" i="11"/>
  <c r="B39" i="10"/>
  <c r="B38" i="10"/>
  <c r="T34" i="10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P12" i="10"/>
  <c r="R34" i="10" s="1"/>
  <c r="H12" i="10"/>
  <c r="J36" i="10" s="1"/>
  <c r="D12" i="10"/>
  <c r="F21" i="10" s="1"/>
  <c r="D5" i="10"/>
  <c r="D4" i="10"/>
  <c r="Z86" i="9"/>
  <c r="X86" i="9"/>
  <c r="N86" i="9"/>
  <c r="L86" i="9"/>
  <c r="Z82" i="9"/>
  <c r="X82" i="9"/>
  <c r="T82" i="9"/>
  <c r="P82" i="9"/>
  <c r="H82" i="9"/>
  <c r="N82" i="9" s="1"/>
  <c r="D82" i="9"/>
  <c r="L82" i="9" s="1"/>
  <c r="Z80" i="9"/>
  <c r="X80" i="9"/>
  <c r="N80" i="9"/>
  <c r="L80" i="9"/>
  <c r="B80" i="9"/>
  <c r="T79" i="9"/>
  <c r="P79" i="9"/>
  <c r="X79" i="9" s="1"/>
  <c r="Z79" i="9" s="1"/>
  <c r="L79" i="9"/>
  <c r="H79" i="9"/>
  <c r="N79" i="9" s="1"/>
  <c r="D79" i="9"/>
  <c r="B79" i="9"/>
  <c r="Z78" i="9"/>
  <c r="X78" i="9"/>
  <c r="N78" i="9"/>
  <c r="L78" i="9"/>
  <c r="B78" i="9"/>
  <c r="X77" i="9"/>
  <c r="T77" i="9"/>
  <c r="Z77" i="9" s="1"/>
  <c r="P77" i="9"/>
  <c r="H77" i="9"/>
  <c r="D77" i="9"/>
  <c r="B77" i="9"/>
  <c r="X76" i="9"/>
  <c r="Z76" i="9" s="1"/>
  <c r="N76" i="9"/>
  <c r="L76" i="9"/>
  <c r="B76" i="9"/>
  <c r="Z75" i="9"/>
  <c r="X75" i="9"/>
  <c r="N75" i="9"/>
  <c r="L75" i="9"/>
  <c r="B75" i="9"/>
  <c r="T74" i="9"/>
  <c r="P74" i="9"/>
  <c r="X74" i="9" s="1"/>
  <c r="L74" i="9"/>
  <c r="N74" i="9" s="1"/>
  <c r="H74" i="9"/>
  <c r="D74" i="9"/>
  <c r="B74" i="9"/>
  <c r="Z73" i="9"/>
  <c r="X73" i="9"/>
  <c r="N73" i="9"/>
  <c r="L73" i="9"/>
  <c r="B73" i="9"/>
  <c r="X72" i="9"/>
  <c r="Z72" i="9" s="1"/>
  <c r="N72" i="9"/>
  <c r="L72" i="9"/>
  <c r="B72" i="9"/>
  <c r="Z71" i="9"/>
  <c r="X71" i="9"/>
  <c r="N71" i="9"/>
  <c r="L71" i="9"/>
  <c r="B71" i="9"/>
  <c r="Z70" i="9"/>
  <c r="X70" i="9"/>
  <c r="N70" i="9"/>
  <c r="L70" i="9"/>
  <c r="B70" i="9"/>
  <c r="Z69" i="9"/>
  <c r="X69" i="9"/>
  <c r="N69" i="9"/>
  <c r="L69" i="9"/>
  <c r="J69" i="9"/>
  <c r="B69" i="9"/>
  <c r="T68" i="9"/>
  <c r="P68" i="9"/>
  <c r="X68" i="9" s="1"/>
  <c r="Z68" i="9" s="1"/>
  <c r="H68" i="9"/>
  <c r="D68" i="9"/>
  <c r="L68" i="9" s="1"/>
  <c r="B68" i="9"/>
  <c r="Z67" i="9"/>
  <c r="X67" i="9"/>
  <c r="N67" i="9"/>
  <c r="L67" i="9"/>
  <c r="B67" i="9"/>
  <c r="T66" i="9"/>
  <c r="Z66" i="9" s="1"/>
  <c r="P66" i="9"/>
  <c r="X66" i="9" s="1"/>
  <c r="N66" i="9"/>
  <c r="L66" i="9"/>
  <c r="H66" i="9"/>
  <c r="D66" i="9"/>
  <c r="B66" i="9"/>
  <c r="X65" i="9"/>
  <c r="Z65" i="9" s="1"/>
  <c r="L65" i="9"/>
  <c r="N65" i="9" s="1"/>
  <c r="B65" i="9"/>
  <c r="X64" i="9"/>
  <c r="Z64" i="9" s="1"/>
  <c r="T64" i="9"/>
  <c r="P64" i="9"/>
  <c r="H64" i="9"/>
  <c r="D64" i="9"/>
  <c r="B64" i="9"/>
  <c r="Z63" i="9"/>
  <c r="X63" i="9"/>
  <c r="N63" i="9"/>
  <c r="L63" i="9"/>
  <c r="B63" i="9"/>
  <c r="X62" i="9"/>
  <c r="Z62" i="9" s="1"/>
  <c r="N62" i="9"/>
  <c r="L62" i="9"/>
  <c r="B62" i="9"/>
  <c r="Z61" i="9"/>
  <c r="X61" i="9"/>
  <c r="L61" i="9"/>
  <c r="N61" i="9" s="1"/>
  <c r="B61" i="9"/>
  <c r="X60" i="9"/>
  <c r="Z60" i="9" s="1"/>
  <c r="T60" i="9"/>
  <c r="P60" i="9"/>
  <c r="H60" i="9"/>
  <c r="D60" i="9"/>
  <c r="B60" i="9"/>
  <c r="Z59" i="9"/>
  <c r="X59" i="9"/>
  <c r="N59" i="9"/>
  <c r="L59" i="9"/>
  <c r="B59" i="9"/>
  <c r="Z58" i="9"/>
  <c r="X58" i="9"/>
  <c r="N58" i="9"/>
  <c r="L58" i="9"/>
  <c r="B58" i="9"/>
  <c r="Z57" i="9"/>
  <c r="X57" i="9"/>
  <c r="L57" i="9"/>
  <c r="N57" i="9" s="1"/>
  <c r="B57" i="9"/>
  <c r="X56" i="9"/>
  <c r="T56" i="9"/>
  <c r="P56" i="9"/>
  <c r="H56" i="9"/>
  <c r="D56" i="9"/>
  <c r="B56" i="9"/>
  <c r="Z55" i="9"/>
  <c r="X55" i="9"/>
  <c r="N55" i="9"/>
  <c r="L55" i="9"/>
  <c r="F55" i="9"/>
  <c r="B55" i="9"/>
  <c r="T54" i="9"/>
  <c r="P54" i="9"/>
  <c r="H54" i="9"/>
  <c r="D54" i="9"/>
  <c r="L54" i="9" s="1"/>
  <c r="N54" i="9" s="1"/>
  <c r="B54" i="9"/>
  <c r="X53" i="9"/>
  <c r="Z53" i="9" s="1"/>
  <c r="N53" i="9"/>
  <c r="L53" i="9"/>
  <c r="B53" i="9"/>
  <c r="X52" i="9"/>
  <c r="Z52" i="9" s="1"/>
  <c r="T52" i="9"/>
  <c r="P52" i="9"/>
  <c r="H52" i="9"/>
  <c r="D52" i="9"/>
  <c r="B52" i="9"/>
  <c r="Z51" i="9"/>
  <c r="X51" i="9"/>
  <c r="N51" i="9"/>
  <c r="L51" i="9"/>
  <c r="B51" i="9"/>
  <c r="Z50" i="9"/>
  <c r="X50" i="9"/>
  <c r="N50" i="9"/>
  <c r="L50" i="9"/>
  <c r="B50" i="9"/>
  <c r="X49" i="9"/>
  <c r="Z49" i="9" s="1"/>
  <c r="T49" i="9"/>
  <c r="P49" i="9"/>
  <c r="N49" i="9"/>
  <c r="L49" i="9"/>
  <c r="H49" i="9"/>
  <c r="D49" i="9"/>
  <c r="B49" i="9"/>
  <c r="X48" i="9"/>
  <c r="Z48" i="9" s="1"/>
  <c r="V48" i="9"/>
  <c r="N48" i="9"/>
  <c r="L48" i="9"/>
  <c r="B48" i="9"/>
  <c r="Z47" i="9"/>
  <c r="X47" i="9"/>
  <c r="T47" i="9"/>
  <c r="P47" i="9"/>
  <c r="H47" i="9"/>
  <c r="D47" i="9"/>
  <c r="B47" i="9"/>
  <c r="X46" i="9"/>
  <c r="Z46" i="9" s="1"/>
  <c r="N46" i="9"/>
  <c r="L46" i="9"/>
  <c r="B46" i="9"/>
  <c r="T45" i="9"/>
  <c r="P45" i="9"/>
  <c r="X45" i="9" s="1"/>
  <c r="Z45" i="9" s="1"/>
  <c r="N45" i="9"/>
  <c r="L45" i="9"/>
  <c r="H45" i="9"/>
  <c r="D45" i="9"/>
  <c r="B45" i="9"/>
  <c r="Z44" i="9"/>
  <c r="X44" i="9"/>
  <c r="L44" i="9"/>
  <c r="N44" i="9" s="1"/>
  <c r="B44" i="9"/>
  <c r="Z43" i="9"/>
  <c r="X43" i="9"/>
  <c r="T43" i="9"/>
  <c r="P43" i="9"/>
  <c r="J43" i="9"/>
  <c r="H43" i="9"/>
  <c r="D43" i="9"/>
  <c r="B43" i="9"/>
  <c r="Z42" i="9"/>
  <c r="X42" i="9"/>
  <c r="N42" i="9"/>
  <c r="L42" i="9"/>
  <c r="B42" i="9"/>
  <c r="V41" i="9"/>
  <c r="T41" i="9"/>
  <c r="P41" i="9"/>
  <c r="H41" i="9"/>
  <c r="F41" i="9"/>
  <c r="D41" i="9"/>
  <c r="L41" i="9" s="1"/>
  <c r="B41" i="9"/>
  <c r="X40" i="9"/>
  <c r="Z40" i="9" s="1"/>
  <c r="L40" i="9"/>
  <c r="N40" i="9" s="1"/>
  <c r="B40" i="9"/>
  <c r="T39" i="9"/>
  <c r="Z39" i="9" s="1"/>
  <c r="P39" i="9"/>
  <c r="X39" i="9" s="1"/>
  <c r="H39" i="9"/>
  <c r="D39" i="9"/>
  <c r="L39" i="9" s="1"/>
  <c r="N39" i="9" s="1"/>
  <c r="B39" i="9"/>
  <c r="Z38" i="9"/>
  <c r="X38" i="9"/>
  <c r="N38" i="9"/>
  <c r="L38" i="9"/>
  <c r="F38" i="9"/>
  <c r="B38" i="9"/>
  <c r="T37" i="9"/>
  <c r="P37" i="9"/>
  <c r="X37" i="9" s="1"/>
  <c r="Z37" i="9" s="1"/>
  <c r="N37" i="9"/>
  <c r="L37" i="9"/>
  <c r="H37" i="9"/>
  <c r="D37" i="9"/>
  <c r="B37" i="9"/>
  <c r="X36" i="9"/>
  <c r="Z36" i="9" s="1"/>
  <c r="L36" i="9"/>
  <c r="N36" i="9" s="1"/>
  <c r="B36" i="9"/>
  <c r="Z35" i="9"/>
  <c r="X35" i="9"/>
  <c r="N35" i="9"/>
  <c r="L35" i="9"/>
  <c r="B35" i="9"/>
  <c r="Z34" i="9"/>
  <c r="X34" i="9"/>
  <c r="N34" i="9"/>
  <c r="L34" i="9"/>
  <c r="F34" i="9"/>
  <c r="B34" i="9"/>
  <c r="Z33" i="9"/>
  <c r="X33" i="9"/>
  <c r="L33" i="9"/>
  <c r="N33" i="9" s="1"/>
  <c r="J33" i="9"/>
  <c r="B33" i="9"/>
  <c r="X32" i="9"/>
  <c r="Z32" i="9" s="1"/>
  <c r="L32" i="9"/>
  <c r="N32" i="9" s="1"/>
  <c r="B32" i="9"/>
  <c r="Z31" i="9"/>
  <c r="X31" i="9"/>
  <c r="N31" i="9"/>
  <c r="L31" i="9"/>
  <c r="B31" i="9"/>
  <c r="T30" i="9"/>
  <c r="P30" i="9"/>
  <c r="X30" i="9" s="1"/>
  <c r="H30" i="9"/>
  <c r="D30" i="9"/>
  <c r="L30" i="9" s="1"/>
  <c r="N30" i="9" s="1"/>
  <c r="B30" i="9"/>
  <c r="Z29" i="9"/>
  <c r="X29" i="9"/>
  <c r="L29" i="9"/>
  <c r="N29" i="9" s="1"/>
  <c r="J29" i="9"/>
  <c r="B29" i="9"/>
  <c r="X28" i="9"/>
  <c r="Z28" i="9" s="1"/>
  <c r="L28" i="9"/>
  <c r="N28" i="9" s="1"/>
  <c r="B28" i="9"/>
  <c r="Z27" i="9"/>
  <c r="X27" i="9"/>
  <c r="N27" i="9"/>
  <c r="L27" i="9"/>
  <c r="B27" i="9"/>
  <c r="Z26" i="9"/>
  <c r="X26" i="9"/>
  <c r="N26" i="9"/>
  <c r="L26" i="9"/>
  <c r="B26" i="9"/>
  <c r="X25" i="9"/>
  <c r="Z25" i="9" s="1"/>
  <c r="V25" i="9"/>
  <c r="L25" i="9"/>
  <c r="N25" i="9" s="1"/>
  <c r="B25" i="9"/>
  <c r="X24" i="9"/>
  <c r="Z24" i="9" s="1"/>
  <c r="V24" i="9"/>
  <c r="L24" i="9"/>
  <c r="N24" i="9" s="1"/>
  <c r="B24" i="9"/>
  <c r="Z23" i="9"/>
  <c r="X23" i="9"/>
  <c r="N23" i="9"/>
  <c r="L23" i="9"/>
  <c r="B23" i="9"/>
  <c r="Z22" i="9"/>
  <c r="X22" i="9"/>
  <c r="L22" i="9"/>
  <c r="N22" i="9" s="1"/>
  <c r="F22" i="9"/>
  <c r="B22" i="9"/>
  <c r="Z21" i="9"/>
  <c r="X21" i="9"/>
  <c r="L21" i="9"/>
  <c r="N21" i="9" s="1"/>
  <c r="J21" i="9"/>
  <c r="B21" i="9"/>
  <c r="X20" i="9"/>
  <c r="Z20" i="9" s="1"/>
  <c r="L20" i="9"/>
  <c r="N20" i="9" s="1"/>
  <c r="J20" i="9"/>
  <c r="B20" i="9"/>
  <c r="T19" i="9"/>
  <c r="Z19" i="9" s="1"/>
  <c r="P19" i="9"/>
  <c r="X19" i="9" s="1"/>
  <c r="H19" i="9"/>
  <c r="D19" i="9"/>
  <c r="L19" i="9" s="1"/>
  <c r="N19" i="9" s="1"/>
  <c r="B19" i="9"/>
  <c r="T18" i="9"/>
  <c r="X18" i="9" s="1"/>
  <c r="Z18" i="9" s="1"/>
  <c r="P18" i="9"/>
  <c r="L18" i="9"/>
  <c r="J18" i="9"/>
  <c r="H18" i="9"/>
  <c r="N18" i="9" s="1"/>
  <c r="D18" i="9"/>
  <c r="T16" i="9"/>
  <c r="T84" i="9" s="1"/>
  <c r="T88" i="9" s="1"/>
  <c r="D16" i="9"/>
  <c r="D84" i="9" s="1"/>
  <c r="T14" i="9"/>
  <c r="Z14" i="9" s="1"/>
  <c r="P14" i="9"/>
  <c r="L14" i="9"/>
  <c r="J14" i="9"/>
  <c r="H14" i="9"/>
  <c r="N14" i="9" s="1"/>
  <c r="D14" i="9"/>
  <c r="T12" i="9"/>
  <c r="P12" i="9"/>
  <c r="R75" i="9" s="1"/>
  <c r="N12" i="9"/>
  <c r="H12" i="9"/>
  <c r="J39" i="9" s="1"/>
  <c r="D12" i="9"/>
  <c r="F66" i="9" s="1"/>
  <c r="D4" i="9"/>
  <c r="B39" i="8"/>
  <c r="B38" i="8"/>
  <c r="T34" i="8"/>
  <c r="Z34" i="8" s="1"/>
  <c r="P34" i="8"/>
  <c r="H34" i="8"/>
  <c r="N34" i="8" s="1"/>
  <c r="D34" i="8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N21" i="8" s="1"/>
  <c r="D21" i="8"/>
  <c r="B21" i="8"/>
  <c r="T20" i="8"/>
  <c r="Z20" i="8" s="1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Z15" i="8" s="1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36" i="8" s="1"/>
  <c r="P12" i="8"/>
  <c r="R24" i="8" s="1"/>
  <c r="H12" i="8"/>
  <c r="J22" i="8" s="1"/>
  <c r="D12" i="8"/>
  <c r="F18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N16" i="7" s="1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21" i="7" s="1"/>
  <c r="P12" i="7"/>
  <c r="R34" i="7" s="1"/>
  <c r="H12" i="7"/>
  <c r="J36" i="7" s="1"/>
  <c r="D12" i="7"/>
  <c r="F36" i="7" s="1"/>
  <c r="D5" i="7"/>
  <c r="D4" i="7"/>
  <c r="V31" i="6"/>
  <c r="R31" i="6"/>
  <c r="J31" i="6"/>
  <c r="T29" i="6"/>
  <c r="R29" i="6"/>
  <c r="P29" i="6"/>
  <c r="X29" i="6" s="1"/>
  <c r="Z29" i="6" s="1"/>
  <c r="N29" i="6"/>
  <c r="L29" i="6"/>
  <c r="J29" i="6"/>
  <c r="H29" i="6"/>
  <c r="D29" i="6"/>
  <c r="Z28" i="6"/>
  <c r="X28" i="6"/>
  <c r="V28" i="6"/>
  <c r="T28" i="6"/>
  <c r="R28" i="6"/>
  <c r="P28" i="6"/>
  <c r="J28" i="6"/>
  <c r="H28" i="6"/>
  <c r="D28" i="6"/>
  <c r="L28" i="6" s="1"/>
  <c r="R26" i="6"/>
  <c r="J26" i="6"/>
  <c r="Z24" i="6"/>
  <c r="X24" i="6"/>
  <c r="V24" i="6"/>
  <c r="R24" i="6"/>
  <c r="N24" i="6"/>
  <c r="L24" i="6"/>
  <c r="V22" i="6"/>
  <c r="R22" i="6"/>
  <c r="J22" i="6"/>
  <c r="Z20" i="6"/>
  <c r="T20" i="6"/>
  <c r="R20" i="6"/>
  <c r="P20" i="6"/>
  <c r="X20" i="6" s="1"/>
  <c r="N20" i="6"/>
  <c r="L20" i="6"/>
  <c r="J20" i="6"/>
  <c r="H20" i="6"/>
  <c r="D20" i="6"/>
  <c r="Z18" i="6"/>
  <c r="X18" i="6"/>
  <c r="V18" i="6"/>
  <c r="T18" i="6"/>
  <c r="R18" i="6"/>
  <c r="P18" i="6"/>
  <c r="J18" i="6"/>
  <c r="H18" i="6"/>
  <c r="N18" i="6" s="1"/>
  <c r="F18" i="6"/>
  <c r="D18" i="6"/>
  <c r="L18" i="6" s="1"/>
  <c r="R16" i="6"/>
  <c r="P16" i="6"/>
  <c r="P22" i="6" s="1"/>
  <c r="J16" i="6"/>
  <c r="Z14" i="6"/>
  <c r="X14" i="6"/>
  <c r="V14" i="6"/>
  <c r="T14" i="6"/>
  <c r="R14" i="6"/>
  <c r="P14" i="6"/>
  <c r="J14" i="6"/>
  <c r="H14" i="6"/>
  <c r="N14" i="6" s="1"/>
  <c r="F14" i="6"/>
  <c r="D14" i="6"/>
  <c r="L14" i="6" s="1"/>
  <c r="Z12" i="6"/>
  <c r="T12" i="6"/>
  <c r="V29" i="6" s="1"/>
  <c r="P12" i="6"/>
  <c r="X12" i="6" s="1"/>
  <c r="N12" i="6"/>
  <c r="L12" i="6"/>
  <c r="H12" i="6"/>
  <c r="H16" i="6" s="1"/>
  <c r="D12" i="6"/>
  <c r="F31" i="6" s="1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D20" i="5"/>
  <c r="T16" i="5"/>
  <c r="Z16" i="5" s="1"/>
  <c r="P16" i="5"/>
  <c r="H16" i="5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36" i="5" s="1"/>
  <c r="P12" i="5"/>
  <c r="R21" i="5" s="1"/>
  <c r="H12" i="5"/>
  <c r="J20" i="5" s="1"/>
  <c r="D12" i="5"/>
  <c r="F36" i="5" s="1"/>
  <c r="D5" i="5"/>
  <c r="D4" i="5"/>
  <c r="B39" i="4"/>
  <c r="B38" i="4"/>
  <c r="T34" i="4"/>
  <c r="Z34" i="4" s="1"/>
  <c r="P34" i="4"/>
  <c r="H34" i="4"/>
  <c r="N34" i="4" s="1"/>
  <c r="D34" i="4"/>
  <c r="T33" i="4"/>
  <c r="P33" i="4"/>
  <c r="H33" i="4"/>
  <c r="N33" i="4" s="1"/>
  <c r="D33" i="4"/>
  <c r="T29" i="4"/>
  <c r="P29" i="4"/>
  <c r="H29" i="4"/>
  <c r="N29" i="4" s="1"/>
  <c r="D29" i="4"/>
  <c r="T25" i="4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V18" i="4" s="1"/>
  <c r="P12" i="4"/>
  <c r="R24" i="4" s="1"/>
  <c r="H12" i="4"/>
  <c r="J22" i="4" s="1"/>
  <c r="D12" i="4"/>
  <c r="F18" i="4" s="1"/>
  <c r="D5" i="4"/>
  <c r="D4" i="4"/>
  <c r="T255" i="3"/>
  <c r="P255" i="3"/>
  <c r="X255" i="3" s="1"/>
  <c r="Z255" i="3" s="1"/>
  <c r="H255" i="3"/>
  <c r="D255" i="3"/>
  <c r="X254" i="3"/>
  <c r="T254" i="3"/>
  <c r="Z254" i="3" s="1"/>
  <c r="P254" i="3"/>
  <c r="H254" i="3"/>
  <c r="D254" i="3"/>
  <c r="L254" i="3" s="1"/>
  <c r="X250" i="3"/>
  <c r="Z250" i="3" s="1"/>
  <c r="L250" i="3"/>
  <c r="N250" i="3" s="1"/>
  <c r="T246" i="3"/>
  <c r="P246" i="3"/>
  <c r="X246" i="3" s="1"/>
  <c r="Z246" i="3" s="1"/>
  <c r="H246" i="3"/>
  <c r="D246" i="3"/>
  <c r="B246" i="3"/>
  <c r="T245" i="3"/>
  <c r="X245" i="3" s="1"/>
  <c r="Z245" i="3" s="1"/>
  <c r="P245" i="3"/>
  <c r="H245" i="3"/>
  <c r="N245" i="3" s="1"/>
  <c r="D245" i="3"/>
  <c r="L245" i="3" s="1"/>
  <c r="B245" i="3"/>
  <c r="T244" i="3"/>
  <c r="P244" i="3"/>
  <c r="X244" i="3" s="1"/>
  <c r="N244" i="3"/>
  <c r="H244" i="3"/>
  <c r="D244" i="3"/>
  <c r="L244" i="3" s="1"/>
  <c r="B244" i="3"/>
  <c r="X243" i="3"/>
  <c r="Z243" i="3" s="1"/>
  <c r="T243" i="3"/>
  <c r="P243" i="3"/>
  <c r="H243" i="3"/>
  <c r="L243" i="3" s="1"/>
  <c r="N243" i="3" s="1"/>
  <c r="D243" i="3"/>
  <c r="B243" i="3"/>
  <c r="X242" i="3"/>
  <c r="T242" i="3"/>
  <c r="Z242" i="3" s="1"/>
  <c r="P242" i="3"/>
  <c r="H242" i="3"/>
  <c r="H238" i="3" s="1"/>
  <c r="D242" i="3"/>
  <c r="L242" i="3" s="1"/>
  <c r="B242" i="3"/>
  <c r="T241" i="3"/>
  <c r="P241" i="3"/>
  <c r="X241" i="3" s="1"/>
  <c r="Z241" i="3" s="1"/>
  <c r="L241" i="3"/>
  <c r="N241" i="3" s="1"/>
  <c r="H241" i="3"/>
  <c r="D241" i="3"/>
  <c r="B241" i="3"/>
  <c r="T240" i="3"/>
  <c r="Z240" i="3" s="1"/>
  <c r="P240" i="3"/>
  <c r="L240" i="3"/>
  <c r="H240" i="3"/>
  <c r="N240" i="3" s="1"/>
  <c r="D240" i="3"/>
  <c r="D238" i="3" s="1"/>
  <c r="L238" i="3" s="1"/>
  <c r="B240" i="3"/>
  <c r="T239" i="3"/>
  <c r="Z239" i="3" s="1"/>
  <c r="P239" i="3"/>
  <c r="X239" i="3" s="1"/>
  <c r="H239" i="3"/>
  <c r="D239" i="3"/>
  <c r="L239" i="3" s="1"/>
  <c r="N239" i="3" s="1"/>
  <c r="B239" i="3"/>
  <c r="P238" i="3"/>
  <c r="X236" i="3"/>
  <c r="Z236" i="3" s="1"/>
  <c r="L236" i="3"/>
  <c r="N236" i="3" s="1"/>
  <c r="B236" i="3"/>
  <c r="T235" i="3"/>
  <c r="P235" i="3"/>
  <c r="X235" i="3" s="1"/>
  <c r="Z235" i="3" s="1"/>
  <c r="H235" i="3"/>
  <c r="D235" i="3"/>
  <c r="L235" i="3" s="1"/>
  <c r="B235" i="3"/>
  <c r="X234" i="3"/>
  <c r="Z234" i="3" s="1"/>
  <c r="L234" i="3"/>
  <c r="N234" i="3" s="1"/>
  <c r="B234" i="3"/>
  <c r="X233" i="3"/>
  <c r="Z233" i="3" s="1"/>
  <c r="N233" i="3"/>
  <c r="L233" i="3"/>
  <c r="B233" i="3"/>
  <c r="X232" i="3"/>
  <c r="Z232" i="3" s="1"/>
  <c r="N232" i="3"/>
  <c r="L232" i="3"/>
  <c r="B232" i="3"/>
  <c r="T231" i="3"/>
  <c r="P231" i="3"/>
  <c r="X231" i="3" s="1"/>
  <c r="Z231" i="3" s="1"/>
  <c r="H231" i="3"/>
  <c r="D231" i="3"/>
  <c r="L231" i="3" s="1"/>
  <c r="B231" i="3"/>
  <c r="X230" i="3"/>
  <c r="Z230" i="3" s="1"/>
  <c r="N230" i="3"/>
  <c r="L230" i="3"/>
  <c r="B230" i="3"/>
  <c r="T229" i="3"/>
  <c r="P229" i="3"/>
  <c r="X229" i="3" s="1"/>
  <c r="N229" i="3"/>
  <c r="H229" i="3"/>
  <c r="D229" i="3"/>
  <c r="L229" i="3" s="1"/>
  <c r="B229" i="3"/>
  <c r="X228" i="3"/>
  <c r="Z228" i="3" s="1"/>
  <c r="L228" i="3"/>
  <c r="N228" i="3" s="1"/>
  <c r="B228" i="3"/>
  <c r="Z227" i="3"/>
  <c r="X227" i="3"/>
  <c r="N227" i="3"/>
  <c r="L227" i="3"/>
  <c r="B227" i="3"/>
  <c r="T226" i="3"/>
  <c r="Z226" i="3" s="1"/>
  <c r="P226" i="3"/>
  <c r="X226" i="3" s="1"/>
  <c r="H226" i="3"/>
  <c r="D226" i="3"/>
  <c r="L226" i="3" s="1"/>
  <c r="N226" i="3" s="1"/>
  <c r="B226" i="3"/>
  <c r="X225" i="3"/>
  <c r="Z225" i="3" s="1"/>
  <c r="L225" i="3"/>
  <c r="N225" i="3" s="1"/>
  <c r="B225" i="3"/>
  <c r="X224" i="3"/>
  <c r="Z224" i="3" s="1"/>
  <c r="L224" i="3"/>
  <c r="N224" i="3" s="1"/>
  <c r="B224" i="3"/>
  <c r="Z223" i="3"/>
  <c r="X223" i="3"/>
  <c r="N223" i="3"/>
  <c r="L223" i="3"/>
  <c r="B223" i="3"/>
  <c r="Z222" i="3"/>
  <c r="X222" i="3"/>
  <c r="N222" i="3"/>
  <c r="L222" i="3"/>
  <c r="B222" i="3"/>
  <c r="X221" i="3"/>
  <c r="Z221" i="3" s="1"/>
  <c r="L221" i="3"/>
  <c r="N221" i="3" s="1"/>
  <c r="B221" i="3"/>
  <c r="X220" i="3"/>
  <c r="Z220" i="3" s="1"/>
  <c r="L220" i="3"/>
  <c r="N220" i="3" s="1"/>
  <c r="B220" i="3"/>
  <c r="Z219" i="3"/>
  <c r="X219" i="3"/>
  <c r="N219" i="3"/>
  <c r="L219" i="3"/>
  <c r="B219" i="3"/>
  <c r="X218" i="3"/>
  <c r="Z218" i="3" s="1"/>
  <c r="N218" i="3"/>
  <c r="L218" i="3"/>
  <c r="B218" i="3"/>
  <c r="X217" i="3"/>
  <c r="Z217" i="3" s="1"/>
  <c r="N217" i="3"/>
  <c r="L217" i="3"/>
  <c r="B217" i="3"/>
  <c r="T216" i="3"/>
  <c r="P216" i="3"/>
  <c r="X216" i="3" s="1"/>
  <c r="Z216" i="3" s="1"/>
  <c r="H216" i="3"/>
  <c r="D216" i="3"/>
  <c r="B216" i="3"/>
  <c r="Z215" i="3"/>
  <c r="X215" i="3"/>
  <c r="N215" i="3"/>
  <c r="L215" i="3"/>
  <c r="B215" i="3"/>
  <c r="X214" i="3"/>
  <c r="Z214" i="3" s="1"/>
  <c r="N214" i="3"/>
  <c r="L214" i="3"/>
  <c r="B214" i="3"/>
  <c r="X213" i="3"/>
  <c r="Z213" i="3" s="1"/>
  <c r="T213" i="3"/>
  <c r="P213" i="3"/>
  <c r="H213" i="3"/>
  <c r="L213" i="3" s="1"/>
  <c r="N213" i="3" s="1"/>
  <c r="D213" i="3"/>
  <c r="B213" i="3"/>
  <c r="X212" i="3"/>
  <c r="Z212" i="3" s="1"/>
  <c r="L212" i="3"/>
  <c r="N212" i="3" s="1"/>
  <c r="B212" i="3"/>
  <c r="Z211" i="3"/>
  <c r="X211" i="3"/>
  <c r="N211" i="3"/>
  <c r="L211" i="3"/>
  <c r="B211" i="3"/>
  <c r="Z210" i="3"/>
  <c r="X210" i="3"/>
  <c r="L210" i="3"/>
  <c r="N210" i="3" s="1"/>
  <c r="B210" i="3"/>
  <c r="X209" i="3"/>
  <c r="Z209" i="3" s="1"/>
  <c r="N209" i="3"/>
  <c r="L209" i="3"/>
  <c r="B209" i="3"/>
  <c r="X208" i="3"/>
  <c r="Z208" i="3" s="1"/>
  <c r="L208" i="3"/>
  <c r="N208" i="3" s="1"/>
  <c r="B208" i="3"/>
  <c r="T207" i="3"/>
  <c r="P207" i="3"/>
  <c r="X207" i="3" s="1"/>
  <c r="Z207" i="3" s="1"/>
  <c r="L207" i="3"/>
  <c r="N207" i="3" s="1"/>
  <c r="H207" i="3"/>
  <c r="D207" i="3"/>
  <c r="B207" i="3"/>
  <c r="Z206" i="3"/>
  <c r="X206" i="3"/>
  <c r="N206" i="3"/>
  <c r="L206" i="3"/>
  <c r="B206" i="3"/>
  <c r="Z205" i="3"/>
  <c r="X205" i="3"/>
  <c r="N205" i="3"/>
  <c r="L205" i="3"/>
  <c r="B205" i="3"/>
  <c r="X204" i="3"/>
  <c r="Z204" i="3" s="1"/>
  <c r="N204" i="3"/>
  <c r="L204" i="3"/>
  <c r="B204" i="3"/>
  <c r="T203" i="3"/>
  <c r="P203" i="3"/>
  <c r="X203" i="3" s="1"/>
  <c r="Z203" i="3" s="1"/>
  <c r="L203" i="3"/>
  <c r="N203" i="3" s="1"/>
  <c r="H203" i="3"/>
  <c r="D203" i="3"/>
  <c r="B203" i="3"/>
  <c r="X202" i="3"/>
  <c r="Z202" i="3" s="1"/>
  <c r="N202" i="3"/>
  <c r="L202" i="3"/>
  <c r="B202" i="3"/>
  <c r="X201" i="3"/>
  <c r="Z201" i="3" s="1"/>
  <c r="L201" i="3"/>
  <c r="N201" i="3" s="1"/>
  <c r="B201" i="3"/>
  <c r="X200" i="3"/>
  <c r="Z200" i="3" s="1"/>
  <c r="L200" i="3"/>
  <c r="N200" i="3" s="1"/>
  <c r="B200" i="3"/>
  <c r="Z199" i="3"/>
  <c r="X199" i="3"/>
  <c r="N199" i="3"/>
  <c r="L199" i="3"/>
  <c r="B199" i="3"/>
  <c r="T198" i="3"/>
  <c r="Z198" i="3" s="1"/>
  <c r="P198" i="3"/>
  <c r="X198" i="3" s="1"/>
  <c r="H198" i="3"/>
  <c r="D198" i="3"/>
  <c r="L198" i="3" s="1"/>
  <c r="N198" i="3" s="1"/>
  <c r="B198" i="3"/>
  <c r="X197" i="3"/>
  <c r="Z197" i="3" s="1"/>
  <c r="L197" i="3"/>
  <c r="N197" i="3" s="1"/>
  <c r="B197" i="3"/>
  <c r="T196" i="3"/>
  <c r="P196" i="3"/>
  <c r="X196" i="3" s="1"/>
  <c r="Z196" i="3" s="1"/>
  <c r="H196" i="3"/>
  <c r="D196" i="3"/>
  <c r="B196" i="3"/>
  <c r="Z195" i="3"/>
  <c r="X195" i="3"/>
  <c r="N195" i="3"/>
  <c r="L195" i="3"/>
  <c r="B195" i="3"/>
  <c r="T194" i="3"/>
  <c r="P194" i="3"/>
  <c r="L194" i="3"/>
  <c r="H194" i="3"/>
  <c r="N194" i="3" s="1"/>
  <c r="D194" i="3"/>
  <c r="B194" i="3"/>
  <c r="Z193" i="3"/>
  <c r="X193" i="3"/>
  <c r="N193" i="3"/>
  <c r="L193" i="3"/>
  <c r="B193" i="3"/>
  <c r="X192" i="3"/>
  <c r="Z192" i="3" s="1"/>
  <c r="L192" i="3"/>
  <c r="N192" i="3" s="1"/>
  <c r="B192" i="3"/>
  <c r="T191" i="3"/>
  <c r="X191" i="3" s="1"/>
  <c r="Z191" i="3" s="1"/>
  <c r="P191" i="3"/>
  <c r="H191" i="3"/>
  <c r="D191" i="3"/>
  <c r="L191" i="3" s="1"/>
  <c r="B191" i="3"/>
  <c r="X190" i="3"/>
  <c r="Z190" i="3" s="1"/>
  <c r="L190" i="3"/>
  <c r="N190" i="3" s="1"/>
  <c r="B190" i="3"/>
  <c r="T189" i="3"/>
  <c r="Z189" i="3" s="1"/>
  <c r="P189" i="3"/>
  <c r="X189" i="3" s="1"/>
  <c r="H189" i="3"/>
  <c r="D189" i="3"/>
  <c r="L189" i="3" s="1"/>
  <c r="N189" i="3" s="1"/>
  <c r="B189" i="3"/>
  <c r="X188" i="3"/>
  <c r="Z188" i="3" s="1"/>
  <c r="L188" i="3"/>
  <c r="N188" i="3" s="1"/>
  <c r="B188" i="3"/>
  <c r="T187" i="3"/>
  <c r="P187" i="3"/>
  <c r="X187" i="3" s="1"/>
  <c r="Z187" i="3" s="1"/>
  <c r="L187" i="3"/>
  <c r="N187" i="3" s="1"/>
  <c r="H187" i="3"/>
  <c r="D187" i="3"/>
  <c r="B187" i="3"/>
  <c r="X186" i="3"/>
  <c r="Z186" i="3" s="1"/>
  <c r="N186" i="3"/>
  <c r="L186" i="3"/>
  <c r="B186" i="3"/>
  <c r="X185" i="3"/>
  <c r="Z185" i="3" s="1"/>
  <c r="T185" i="3"/>
  <c r="P185" i="3"/>
  <c r="H185" i="3"/>
  <c r="L185" i="3" s="1"/>
  <c r="N185" i="3" s="1"/>
  <c r="D185" i="3"/>
  <c r="B185" i="3"/>
  <c r="X184" i="3"/>
  <c r="Z184" i="3" s="1"/>
  <c r="L184" i="3"/>
  <c r="N184" i="3" s="1"/>
  <c r="B184" i="3"/>
  <c r="Z183" i="3"/>
  <c r="X183" i="3"/>
  <c r="N183" i="3"/>
  <c r="L183" i="3"/>
  <c r="B183" i="3"/>
  <c r="T182" i="3"/>
  <c r="P182" i="3"/>
  <c r="L182" i="3"/>
  <c r="H182" i="3"/>
  <c r="N182" i="3" s="1"/>
  <c r="D182" i="3"/>
  <c r="B182" i="3"/>
  <c r="X181" i="3"/>
  <c r="Z181" i="3" s="1"/>
  <c r="L181" i="3"/>
  <c r="N181" i="3" s="1"/>
  <c r="B181" i="3"/>
  <c r="X180" i="3"/>
  <c r="T180" i="3"/>
  <c r="Z180" i="3" s="1"/>
  <c r="P180" i="3"/>
  <c r="H180" i="3"/>
  <c r="D180" i="3"/>
  <c r="L180" i="3" s="1"/>
  <c r="B180" i="3"/>
  <c r="Z179" i="3"/>
  <c r="X179" i="3"/>
  <c r="N179" i="3"/>
  <c r="L179" i="3"/>
  <c r="B179" i="3"/>
  <c r="T178" i="3"/>
  <c r="P178" i="3"/>
  <c r="X178" i="3" s="1"/>
  <c r="N178" i="3"/>
  <c r="H178" i="3"/>
  <c r="D178" i="3"/>
  <c r="L178" i="3" s="1"/>
  <c r="B178" i="3"/>
  <c r="X177" i="3"/>
  <c r="Z177" i="3" s="1"/>
  <c r="L177" i="3"/>
  <c r="N177" i="3" s="1"/>
  <c r="B177" i="3"/>
  <c r="T176" i="3"/>
  <c r="P176" i="3"/>
  <c r="X176" i="3" s="1"/>
  <c r="Z176" i="3" s="1"/>
  <c r="H176" i="3"/>
  <c r="D176" i="3"/>
  <c r="B176" i="3"/>
  <c r="Z175" i="3"/>
  <c r="X175" i="3"/>
  <c r="N175" i="3"/>
  <c r="L175" i="3"/>
  <c r="B175" i="3"/>
  <c r="X174" i="3"/>
  <c r="Z174" i="3" s="1"/>
  <c r="L174" i="3"/>
  <c r="N174" i="3" s="1"/>
  <c r="B174" i="3"/>
  <c r="Z173" i="3"/>
  <c r="X173" i="3"/>
  <c r="T173" i="3"/>
  <c r="P173" i="3"/>
  <c r="H173" i="3"/>
  <c r="L173" i="3" s="1"/>
  <c r="N173" i="3" s="1"/>
  <c r="D173" i="3"/>
  <c r="B173" i="3"/>
  <c r="X172" i="3"/>
  <c r="Z172" i="3" s="1"/>
  <c r="L172" i="3"/>
  <c r="N172" i="3" s="1"/>
  <c r="B172" i="3"/>
  <c r="Z171" i="3"/>
  <c r="X171" i="3"/>
  <c r="N171" i="3"/>
  <c r="L171" i="3"/>
  <c r="B171" i="3"/>
  <c r="T170" i="3"/>
  <c r="P170" i="3"/>
  <c r="L170" i="3"/>
  <c r="H170" i="3"/>
  <c r="N170" i="3" s="1"/>
  <c r="D170" i="3"/>
  <c r="B170" i="3"/>
  <c r="Z169" i="3"/>
  <c r="X169" i="3"/>
  <c r="N169" i="3"/>
  <c r="L169" i="3"/>
  <c r="B169" i="3"/>
  <c r="X168" i="3"/>
  <c r="T168" i="3"/>
  <c r="Z168" i="3" s="1"/>
  <c r="P168" i="3"/>
  <c r="H168" i="3"/>
  <c r="D168" i="3"/>
  <c r="L168" i="3" s="1"/>
  <c r="B168" i="3"/>
  <c r="Z167" i="3"/>
  <c r="X167" i="3"/>
  <c r="N167" i="3"/>
  <c r="L167" i="3"/>
  <c r="B167" i="3"/>
  <c r="T166" i="3"/>
  <c r="P166" i="3"/>
  <c r="X166" i="3" s="1"/>
  <c r="H166" i="3"/>
  <c r="D166" i="3"/>
  <c r="L166" i="3" s="1"/>
  <c r="N166" i="3" s="1"/>
  <c r="B166" i="3"/>
  <c r="Z165" i="3"/>
  <c r="X165" i="3"/>
  <c r="N165" i="3"/>
  <c r="L165" i="3"/>
  <c r="B165" i="3"/>
  <c r="T164" i="3"/>
  <c r="P164" i="3"/>
  <c r="X164" i="3" s="1"/>
  <c r="Z164" i="3" s="1"/>
  <c r="H164" i="3"/>
  <c r="D164" i="3"/>
  <c r="B164" i="3"/>
  <c r="Z163" i="3"/>
  <c r="X163" i="3"/>
  <c r="N163" i="3"/>
  <c r="L163" i="3"/>
  <c r="B163" i="3"/>
  <c r="X162" i="3"/>
  <c r="Z162" i="3" s="1"/>
  <c r="L162" i="3"/>
  <c r="N162" i="3" s="1"/>
  <c r="B162" i="3"/>
  <c r="Z161" i="3"/>
  <c r="X161" i="3"/>
  <c r="N161" i="3"/>
  <c r="L161" i="3"/>
  <c r="B161" i="3"/>
  <c r="X160" i="3"/>
  <c r="Z160" i="3" s="1"/>
  <c r="L160" i="3"/>
  <c r="N160" i="3" s="1"/>
  <c r="B160" i="3"/>
  <c r="Z159" i="3"/>
  <c r="X159" i="3"/>
  <c r="N159" i="3"/>
  <c r="L159" i="3"/>
  <c r="B159" i="3"/>
  <c r="X158" i="3"/>
  <c r="Z158" i="3" s="1"/>
  <c r="L158" i="3"/>
  <c r="N158" i="3" s="1"/>
  <c r="B158" i="3"/>
  <c r="Z157" i="3"/>
  <c r="X157" i="3"/>
  <c r="N157" i="3"/>
  <c r="L157" i="3"/>
  <c r="B157" i="3"/>
  <c r="X156" i="3"/>
  <c r="T156" i="3"/>
  <c r="Z156" i="3" s="1"/>
  <c r="P156" i="3"/>
  <c r="H156" i="3"/>
  <c r="N156" i="3" s="1"/>
  <c r="D156" i="3"/>
  <c r="L156" i="3" s="1"/>
  <c r="B156" i="3"/>
  <c r="Z155" i="3"/>
  <c r="X155" i="3"/>
  <c r="N155" i="3"/>
  <c r="L155" i="3"/>
  <c r="B155" i="3"/>
  <c r="X154" i="3"/>
  <c r="Z154" i="3" s="1"/>
  <c r="L154" i="3"/>
  <c r="N154" i="3" s="1"/>
  <c r="B154" i="3"/>
  <c r="Z153" i="3"/>
  <c r="X153" i="3"/>
  <c r="N153" i="3"/>
  <c r="L153" i="3"/>
  <c r="B153" i="3"/>
  <c r="X152" i="3"/>
  <c r="Z152" i="3" s="1"/>
  <c r="L152" i="3"/>
  <c r="N152" i="3" s="1"/>
  <c r="B152" i="3"/>
  <c r="Z151" i="3"/>
  <c r="X151" i="3"/>
  <c r="N151" i="3"/>
  <c r="L151" i="3"/>
  <c r="B151" i="3"/>
  <c r="X150" i="3"/>
  <c r="Z150" i="3" s="1"/>
  <c r="L150" i="3"/>
  <c r="N150" i="3" s="1"/>
  <c r="B150" i="3"/>
  <c r="Z149" i="3"/>
  <c r="X149" i="3"/>
  <c r="N149" i="3"/>
  <c r="L149" i="3"/>
  <c r="B149" i="3"/>
  <c r="X148" i="3"/>
  <c r="Z148" i="3" s="1"/>
  <c r="L148" i="3"/>
  <c r="N148" i="3" s="1"/>
  <c r="B148" i="3"/>
  <c r="Z147" i="3"/>
  <c r="X147" i="3"/>
  <c r="N147" i="3"/>
  <c r="L147" i="3"/>
  <c r="B147" i="3"/>
  <c r="X146" i="3"/>
  <c r="Z146" i="3" s="1"/>
  <c r="L146" i="3"/>
  <c r="N146" i="3" s="1"/>
  <c r="B146" i="3"/>
  <c r="T145" i="3"/>
  <c r="Z145" i="3" s="1"/>
  <c r="P145" i="3"/>
  <c r="X145" i="3" s="1"/>
  <c r="H145" i="3"/>
  <c r="D145" i="3"/>
  <c r="L145" i="3" s="1"/>
  <c r="N145" i="3" s="1"/>
  <c r="B145" i="3"/>
  <c r="T144" i="3"/>
  <c r="P144" i="3"/>
  <c r="X144" i="3" s="1"/>
  <c r="H144" i="3"/>
  <c r="N144" i="3" s="1"/>
  <c r="D144" i="3"/>
  <c r="L144" i="3" s="1"/>
  <c r="Z140" i="3"/>
  <c r="X140" i="3"/>
  <c r="N140" i="3"/>
  <c r="L140" i="3"/>
  <c r="B140" i="3"/>
  <c r="Z139" i="3"/>
  <c r="X139" i="3"/>
  <c r="N139" i="3"/>
  <c r="L139" i="3"/>
  <c r="B139" i="3"/>
  <c r="X138" i="3"/>
  <c r="Z138" i="3" s="1"/>
  <c r="L138" i="3"/>
  <c r="N138" i="3" s="1"/>
  <c r="B138" i="3"/>
  <c r="Z137" i="3"/>
  <c r="X137" i="3"/>
  <c r="N137" i="3"/>
  <c r="L137" i="3"/>
  <c r="B137" i="3"/>
  <c r="X136" i="3"/>
  <c r="Z136" i="3" s="1"/>
  <c r="L136" i="3"/>
  <c r="N136" i="3" s="1"/>
  <c r="B136" i="3"/>
  <c r="Z135" i="3"/>
  <c r="X135" i="3"/>
  <c r="N135" i="3"/>
  <c r="L135" i="3"/>
  <c r="B135" i="3"/>
  <c r="X134" i="3"/>
  <c r="Z134" i="3" s="1"/>
  <c r="L134" i="3"/>
  <c r="N134" i="3" s="1"/>
  <c r="B134" i="3"/>
  <c r="Z133" i="3"/>
  <c r="X133" i="3"/>
  <c r="N133" i="3"/>
  <c r="L133" i="3"/>
  <c r="B133" i="3"/>
  <c r="X132" i="3"/>
  <c r="Z132" i="3" s="1"/>
  <c r="L132" i="3"/>
  <c r="N132" i="3" s="1"/>
  <c r="B132" i="3"/>
  <c r="Z131" i="3"/>
  <c r="X131" i="3"/>
  <c r="N131" i="3"/>
  <c r="L131" i="3"/>
  <c r="B131" i="3"/>
  <c r="X130" i="3"/>
  <c r="Z130" i="3" s="1"/>
  <c r="L130" i="3"/>
  <c r="N130" i="3" s="1"/>
  <c r="B130" i="3"/>
  <c r="Z129" i="3"/>
  <c r="X129" i="3"/>
  <c r="N129" i="3"/>
  <c r="L129" i="3"/>
  <c r="B129" i="3"/>
  <c r="Z128" i="3"/>
  <c r="X128" i="3"/>
  <c r="N128" i="3"/>
  <c r="L128" i="3"/>
  <c r="B128" i="3"/>
  <c r="Z127" i="3"/>
  <c r="X127" i="3"/>
  <c r="N127" i="3"/>
  <c r="L127" i="3"/>
  <c r="B127" i="3"/>
  <c r="X126" i="3"/>
  <c r="Z126" i="3" s="1"/>
  <c r="L126" i="3"/>
  <c r="N126" i="3" s="1"/>
  <c r="B126" i="3"/>
  <c r="X125" i="3"/>
  <c r="Z125" i="3" s="1"/>
  <c r="N125" i="3"/>
  <c r="L125" i="3"/>
  <c r="B125" i="3"/>
  <c r="Z124" i="3"/>
  <c r="X124" i="3"/>
  <c r="N124" i="3"/>
  <c r="L124" i="3"/>
  <c r="B124" i="3"/>
  <c r="Z123" i="3"/>
  <c r="X123" i="3"/>
  <c r="N123" i="3"/>
  <c r="L123" i="3"/>
  <c r="B123" i="3"/>
  <c r="X122" i="3"/>
  <c r="Z122" i="3" s="1"/>
  <c r="L122" i="3"/>
  <c r="N122" i="3" s="1"/>
  <c r="B122" i="3"/>
  <c r="Z121" i="3"/>
  <c r="X121" i="3"/>
  <c r="N121" i="3"/>
  <c r="L121" i="3"/>
  <c r="B121" i="3"/>
  <c r="X120" i="3"/>
  <c r="Z120" i="3" s="1"/>
  <c r="L120" i="3"/>
  <c r="N120" i="3" s="1"/>
  <c r="B120" i="3"/>
  <c r="Z119" i="3"/>
  <c r="X119" i="3"/>
  <c r="N119" i="3"/>
  <c r="L119" i="3"/>
  <c r="B119" i="3"/>
  <c r="X118" i="3"/>
  <c r="Z118" i="3" s="1"/>
  <c r="L118" i="3"/>
  <c r="N118" i="3" s="1"/>
  <c r="B118" i="3"/>
  <c r="X117" i="3"/>
  <c r="Z117" i="3" s="1"/>
  <c r="N117" i="3"/>
  <c r="L117" i="3"/>
  <c r="B117" i="3"/>
  <c r="X116" i="3"/>
  <c r="Z116" i="3" s="1"/>
  <c r="L116" i="3"/>
  <c r="N116" i="3" s="1"/>
  <c r="B116" i="3"/>
  <c r="Z115" i="3"/>
  <c r="X115" i="3"/>
  <c r="N115" i="3"/>
  <c r="L115" i="3"/>
  <c r="B115" i="3"/>
  <c r="X114" i="3"/>
  <c r="Z114" i="3" s="1"/>
  <c r="L114" i="3"/>
  <c r="N114" i="3" s="1"/>
  <c r="B114" i="3"/>
  <c r="Z113" i="3"/>
  <c r="X113" i="3"/>
  <c r="L113" i="3"/>
  <c r="N113" i="3" s="1"/>
  <c r="B113" i="3"/>
  <c r="Z112" i="3"/>
  <c r="X112" i="3"/>
  <c r="N112" i="3"/>
  <c r="L112" i="3"/>
  <c r="B112" i="3"/>
  <c r="Z111" i="3"/>
  <c r="X111" i="3"/>
  <c r="N111" i="3"/>
  <c r="L111" i="3"/>
  <c r="B111" i="3"/>
  <c r="X110" i="3"/>
  <c r="Z110" i="3" s="1"/>
  <c r="L110" i="3"/>
  <c r="N110" i="3" s="1"/>
  <c r="B110" i="3"/>
  <c r="X109" i="3"/>
  <c r="Z109" i="3" s="1"/>
  <c r="N109" i="3"/>
  <c r="L109" i="3"/>
  <c r="B109" i="3"/>
  <c r="X108" i="3"/>
  <c r="Z108" i="3" s="1"/>
  <c r="L108" i="3"/>
  <c r="N108" i="3" s="1"/>
  <c r="B108" i="3"/>
  <c r="Z107" i="3"/>
  <c r="X107" i="3"/>
  <c r="N107" i="3"/>
  <c r="L107" i="3"/>
  <c r="B107" i="3"/>
  <c r="X106" i="3"/>
  <c r="Z106" i="3" s="1"/>
  <c r="L106" i="3"/>
  <c r="N106" i="3" s="1"/>
  <c r="B106" i="3"/>
  <c r="Z105" i="3"/>
  <c r="X105" i="3"/>
  <c r="N105" i="3"/>
  <c r="L105" i="3"/>
  <c r="B105" i="3"/>
  <c r="Z104" i="3"/>
  <c r="X104" i="3"/>
  <c r="N104" i="3"/>
  <c r="L104" i="3"/>
  <c r="B104" i="3"/>
  <c r="Z103" i="3"/>
  <c r="X103" i="3"/>
  <c r="N103" i="3"/>
  <c r="L103" i="3"/>
  <c r="B103" i="3"/>
  <c r="X102" i="3"/>
  <c r="Z102" i="3" s="1"/>
  <c r="L102" i="3"/>
  <c r="N102" i="3" s="1"/>
  <c r="B102" i="3"/>
  <c r="X101" i="3"/>
  <c r="Z101" i="3" s="1"/>
  <c r="N101" i="3"/>
  <c r="L101" i="3"/>
  <c r="B101" i="3"/>
  <c r="X100" i="3"/>
  <c r="Z100" i="3" s="1"/>
  <c r="L100" i="3"/>
  <c r="N100" i="3" s="1"/>
  <c r="B100" i="3"/>
  <c r="Z99" i="3"/>
  <c r="X99" i="3"/>
  <c r="N99" i="3"/>
  <c r="L99" i="3"/>
  <c r="B99" i="3"/>
  <c r="X98" i="3"/>
  <c r="Z98" i="3" s="1"/>
  <c r="L98" i="3"/>
  <c r="N98" i="3" s="1"/>
  <c r="B98" i="3"/>
  <c r="Z97" i="3"/>
  <c r="X97" i="3"/>
  <c r="N97" i="3"/>
  <c r="L97" i="3"/>
  <c r="B97" i="3"/>
  <c r="X96" i="3"/>
  <c r="T96" i="3"/>
  <c r="Z96" i="3" s="1"/>
  <c r="P96" i="3"/>
  <c r="H96" i="3"/>
  <c r="D96" i="3"/>
  <c r="T94" i="3"/>
  <c r="P94" i="3"/>
  <c r="X94" i="3" s="1"/>
  <c r="L94" i="3"/>
  <c r="H94" i="3"/>
  <c r="N94" i="3" s="1"/>
  <c r="D94" i="3"/>
  <c r="B94" i="3"/>
  <c r="T93" i="3"/>
  <c r="P93" i="3"/>
  <c r="H93" i="3"/>
  <c r="D93" i="3"/>
  <c r="L93" i="3" s="1"/>
  <c r="N93" i="3" s="1"/>
  <c r="B93" i="3"/>
  <c r="T92" i="3"/>
  <c r="P92" i="3"/>
  <c r="X92" i="3" s="1"/>
  <c r="Z92" i="3" s="1"/>
  <c r="H92" i="3"/>
  <c r="N92" i="3" s="1"/>
  <c r="D92" i="3"/>
  <c r="L92" i="3" s="1"/>
  <c r="B92" i="3"/>
  <c r="T91" i="3"/>
  <c r="P91" i="3"/>
  <c r="X91" i="3" s="1"/>
  <c r="H91" i="3"/>
  <c r="D91" i="3"/>
  <c r="L91" i="3" s="1"/>
  <c r="B91" i="3"/>
  <c r="X90" i="3"/>
  <c r="T90" i="3"/>
  <c r="Z90" i="3" s="1"/>
  <c r="P90" i="3"/>
  <c r="H90" i="3"/>
  <c r="D90" i="3"/>
  <c r="L90" i="3" s="1"/>
  <c r="B90" i="3"/>
  <c r="T89" i="3"/>
  <c r="P89" i="3"/>
  <c r="X89" i="3" s="1"/>
  <c r="Z89" i="3" s="1"/>
  <c r="H89" i="3"/>
  <c r="D89" i="3"/>
  <c r="B89" i="3"/>
  <c r="T88" i="3"/>
  <c r="P88" i="3"/>
  <c r="X88" i="3" s="1"/>
  <c r="H88" i="3"/>
  <c r="D88" i="3"/>
  <c r="L88" i="3" s="1"/>
  <c r="N88" i="3" s="1"/>
  <c r="B88" i="3"/>
  <c r="T87" i="3"/>
  <c r="Z87" i="3" s="1"/>
  <c r="P87" i="3"/>
  <c r="X87" i="3" s="1"/>
  <c r="H87" i="3"/>
  <c r="N87" i="3" s="1"/>
  <c r="D87" i="3"/>
  <c r="L87" i="3" s="1"/>
  <c r="B87" i="3"/>
  <c r="T86" i="3"/>
  <c r="P86" i="3"/>
  <c r="X86" i="3" s="1"/>
  <c r="L86" i="3"/>
  <c r="H86" i="3"/>
  <c r="N86" i="3" s="1"/>
  <c r="D86" i="3"/>
  <c r="B86" i="3"/>
  <c r="T85" i="3"/>
  <c r="P85" i="3"/>
  <c r="H85" i="3"/>
  <c r="D85" i="3"/>
  <c r="L85" i="3" s="1"/>
  <c r="N85" i="3" s="1"/>
  <c r="B85" i="3"/>
  <c r="T84" i="3"/>
  <c r="P84" i="3"/>
  <c r="X84" i="3" s="1"/>
  <c r="Z84" i="3" s="1"/>
  <c r="H84" i="3"/>
  <c r="D84" i="3"/>
  <c r="L84" i="3" s="1"/>
  <c r="B84" i="3"/>
  <c r="T83" i="3"/>
  <c r="P83" i="3"/>
  <c r="X83" i="3" s="1"/>
  <c r="H83" i="3"/>
  <c r="N83" i="3" s="1"/>
  <c r="D83" i="3"/>
  <c r="L83" i="3" s="1"/>
  <c r="B83" i="3"/>
  <c r="X82" i="3"/>
  <c r="T82" i="3"/>
  <c r="Z82" i="3" s="1"/>
  <c r="P82" i="3"/>
  <c r="H82" i="3"/>
  <c r="D82" i="3"/>
  <c r="L82" i="3" s="1"/>
  <c r="B82" i="3"/>
  <c r="T81" i="3"/>
  <c r="P81" i="3"/>
  <c r="X81" i="3" s="1"/>
  <c r="Z81" i="3" s="1"/>
  <c r="H81" i="3"/>
  <c r="D81" i="3"/>
  <c r="B81" i="3"/>
  <c r="T80" i="3"/>
  <c r="P80" i="3"/>
  <c r="X80" i="3" s="1"/>
  <c r="H80" i="3"/>
  <c r="D80" i="3"/>
  <c r="L80" i="3" s="1"/>
  <c r="N80" i="3" s="1"/>
  <c r="B80" i="3"/>
  <c r="T79" i="3"/>
  <c r="P79" i="3"/>
  <c r="X79" i="3" s="1"/>
  <c r="H79" i="3"/>
  <c r="D79" i="3"/>
  <c r="L79" i="3" s="1"/>
  <c r="B79" i="3"/>
  <c r="T78" i="3"/>
  <c r="Z78" i="3" s="1"/>
  <c r="P78" i="3"/>
  <c r="X78" i="3" s="1"/>
  <c r="L78" i="3"/>
  <c r="H78" i="3"/>
  <c r="N78" i="3" s="1"/>
  <c r="D78" i="3"/>
  <c r="B78" i="3"/>
  <c r="T77" i="3"/>
  <c r="P77" i="3"/>
  <c r="H77" i="3"/>
  <c r="D77" i="3"/>
  <c r="L77" i="3" s="1"/>
  <c r="N77" i="3" s="1"/>
  <c r="B77" i="3"/>
  <c r="T76" i="3"/>
  <c r="P76" i="3"/>
  <c r="X76" i="3" s="1"/>
  <c r="Z76" i="3" s="1"/>
  <c r="H76" i="3"/>
  <c r="D76" i="3"/>
  <c r="L76" i="3" s="1"/>
  <c r="B76" i="3"/>
  <c r="T75" i="3"/>
  <c r="Z75" i="3" s="1"/>
  <c r="P75" i="3"/>
  <c r="X75" i="3" s="1"/>
  <c r="H75" i="3"/>
  <c r="N75" i="3" s="1"/>
  <c r="D75" i="3"/>
  <c r="L75" i="3" s="1"/>
  <c r="B75" i="3"/>
  <c r="X74" i="3"/>
  <c r="T74" i="3"/>
  <c r="Z74" i="3" s="1"/>
  <c r="P74" i="3"/>
  <c r="H74" i="3"/>
  <c r="N74" i="3" s="1"/>
  <c r="D74" i="3"/>
  <c r="L74" i="3" s="1"/>
  <c r="B74" i="3"/>
  <c r="T73" i="3"/>
  <c r="P73" i="3"/>
  <c r="X73" i="3" s="1"/>
  <c r="Z73" i="3" s="1"/>
  <c r="H73" i="3"/>
  <c r="D73" i="3"/>
  <c r="B73" i="3"/>
  <c r="T72" i="3"/>
  <c r="Z72" i="3" s="1"/>
  <c r="P72" i="3"/>
  <c r="X72" i="3" s="1"/>
  <c r="H72" i="3"/>
  <c r="D72" i="3"/>
  <c r="L72" i="3" s="1"/>
  <c r="N72" i="3" s="1"/>
  <c r="B72" i="3"/>
  <c r="T71" i="3"/>
  <c r="P71" i="3"/>
  <c r="X71" i="3" s="1"/>
  <c r="H71" i="3"/>
  <c r="D71" i="3"/>
  <c r="L71" i="3" s="1"/>
  <c r="B71" i="3"/>
  <c r="T70" i="3"/>
  <c r="Z70" i="3" s="1"/>
  <c r="P70" i="3"/>
  <c r="X70" i="3" s="1"/>
  <c r="L70" i="3"/>
  <c r="H70" i="3"/>
  <c r="N70" i="3" s="1"/>
  <c r="D70" i="3"/>
  <c r="B70" i="3"/>
  <c r="T69" i="3"/>
  <c r="Z69" i="3" s="1"/>
  <c r="P69" i="3"/>
  <c r="N69" i="3"/>
  <c r="H69" i="3"/>
  <c r="D69" i="3"/>
  <c r="L69" i="3" s="1"/>
  <c r="B69" i="3"/>
  <c r="T68" i="3"/>
  <c r="P68" i="3"/>
  <c r="X68" i="3" s="1"/>
  <c r="Z68" i="3" s="1"/>
  <c r="H68" i="3"/>
  <c r="N68" i="3" s="1"/>
  <c r="D68" i="3"/>
  <c r="L68" i="3" s="1"/>
  <c r="B68" i="3"/>
  <c r="T67" i="3"/>
  <c r="P67" i="3"/>
  <c r="X67" i="3" s="1"/>
  <c r="H67" i="3"/>
  <c r="D67" i="3"/>
  <c r="L67" i="3" s="1"/>
  <c r="B67" i="3"/>
  <c r="X66" i="3"/>
  <c r="T66" i="3"/>
  <c r="Z66" i="3" s="1"/>
  <c r="P66" i="3"/>
  <c r="H66" i="3"/>
  <c r="D66" i="3"/>
  <c r="L66" i="3" s="1"/>
  <c r="B66" i="3"/>
  <c r="T65" i="3"/>
  <c r="P65" i="3"/>
  <c r="X65" i="3" s="1"/>
  <c r="Z65" i="3" s="1"/>
  <c r="H65" i="3"/>
  <c r="D65" i="3"/>
  <c r="B65" i="3"/>
  <c r="T64" i="3"/>
  <c r="P64" i="3"/>
  <c r="X64" i="3" s="1"/>
  <c r="H64" i="3"/>
  <c r="D64" i="3"/>
  <c r="L64" i="3" s="1"/>
  <c r="N64" i="3" s="1"/>
  <c r="B64" i="3"/>
  <c r="T63" i="3"/>
  <c r="Z63" i="3" s="1"/>
  <c r="P63" i="3"/>
  <c r="X63" i="3" s="1"/>
  <c r="H63" i="3"/>
  <c r="D63" i="3"/>
  <c r="L63" i="3" s="1"/>
  <c r="B63" i="3"/>
  <c r="T62" i="3"/>
  <c r="P62" i="3"/>
  <c r="X62" i="3" s="1"/>
  <c r="L62" i="3"/>
  <c r="H62" i="3"/>
  <c r="N62" i="3" s="1"/>
  <c r="D62" i="3"/>
  <c r="B62" i="3"/>
  <c r="T61" i="3"/>
  <c r="P61" i="3"/>
  <c r="H61" i="3"/>
  <c r="D61" i="3"/>
  <c r="L61" i="3" s="1"/>
  <c r="N61" i="3" s="1"/>
  <c r="B61" i="3"/>
  <c r="T60" i="3"/>
  <c r="P60" i="3"/>
  <c r="X60" i="3" s="1"/>
  <c r="Z60" i="3" s="1"/>
  <c r="H60" i="3"/>
  <c r="D60" i="3"/>
  <c r="L60" i="3" s="1"/>
  <c r="B60" i="3"/>
  <c r="T59" i="3"/>
  <c r="P59" i="3"/>
  <c r="X59" i="3" s="1"/>
  <c r="H59" i="3"/>
  <c r="N59" i="3" s="1"/>
  <c r="D59" i="3"/>
  <c r="L59" i="3" s="1"/>
  <c r="B59" i="3"/>
  <c r="X58" i="3"/>
  <c r="T58" i="3"/>
  <c r="Z58" i="3" s="1"/>
  <c r="P58" i="3"/>
  <c r="H58" i="3"/>
  <c r="D58" i="3"/>
  <c r="L58" i="3" s="1"/>
  <c r="B58" i="3"/>
  <c r="T57" i="3"/>
  <c r="P57" i="3"/>
  <c r="X57" i="3" s="1"/>
  <c r="Z57" i="3" s="1"/>
  <c r="H57" i="3"/>
  <c r="N57" i="3" s="1"/>
  <c r="D57" i="3"/>
  <c r="B57" i="3"/>
  <c r="T56" i="3"/>
  <c r="P56" i="3"/>
  <c r="X56" i="3" s="1"/>
  <c r="H56" i="3"/>
  <c r="D56" i="3"/>
  <c r="L56" i="3" s="1"/>
  <c r="N56" i="3" s="1"/>
  <c r="B56" i="3"/>
  <c r="T55" i="3"/>
  <c r="P55" i="3"/>
  <c r="X55" i="3" s="1"/>
  <c r="H55" i="3"/>
  <c r="D55" i="3"/>
  <c r="L55" i="3" s="1"/>
  <c r="B55" i="3"/>
  <c r="T54" i="3"/>
  <c r="P54" i="3"/>
  <c r="X54" i="3" s="1"/>
  <c r="L54" i="3"/>
  <c r="H54" i="3"/>
  <c r="N54" i="3" s="1"/>
  <c r="D54" i="3"/>
  <c r="B54" i="3"/>
  <c r="T53" i="3"/>
  <c r="P53" i="3"/>
  <c r="N53" i="3"/>
  <c r="H53" i="3"/>
  <c r="D53" i="3"/>
  <c r="L53" i="3" s="1"/>
  <c r="B53" i="3"/>
  <c r="T52" i="3"/>
  <c r="P52" i="3"/>
  <c r="X52" i="3" s="1"/>
  <c r="Z52" i="3" s="1"/>
  <c r="H52" i="3"/>
  <c r="N52" i="3" s="1"/>
  <c r="D52" i="3"/>
  <c r="L52" i="3" s="1"/>
  <c r="B52" i="3"/>
  <c r="T51" i="3"/>
  <c r="Z51" i="3" s="1"/>
  <c r="P51" i="3"/>
  <c r="X51" i="3" s="1"/>
  <c r="H51" i="3"/>
  <c r="N51" i="3" s="1"/>
  <c r="D51" i="3"/>
  <c r="L51" i="3" s="1"/>
  <c r="B51" i="3"/>
  <c r="X50" i="3"/>
  <c r="T50" i="3"/>
  <c r="Z50" i="3" s="1"/>
  <c r="P50" i="3"/>
  <c r="H50" i="3"/>
  <c r="N50" i="3" s="1"/>
  <c r="D50" i="3"/>
  <c r="L50" i="3" s="1"/>
  <c r="B50" i="3"/>
  <c r="T49" i="3"/>
  <c r="P49" i="3"/>
  <c r="X49" i="3" s="1"/>
  <c r="Z49" i="3" s="1"/>
  <c r="H49" i="3"/>
  <c r="D49" i="3"/>
  <c r="B49" i="3"/>
  <c r="T48" i="3"/>
  <c r="Z48" i="3" s="1"/>
  <c r="P48" i="3"/>
  <c r="X48" i="3" s="1"/>
  <c r="H48" i="3"/>
  <c r="D48" i="3"/>
  <c r="L48" i="3" s="1"/>
  <c r="N48" i="3" s="1"/>
  <c r="B48" i="3"/>
  <c r="T47" i="3"/>
  <c r="P47" i="3"/>
  <c r="X47" i="3" s="1"/>
  <c r="H47" i="3"/>
  <c r="N47" i="3" s="1"/>
  <c r="D47" i="3"/>
  <c r="L47" i="3" s="1"/>
  <c r="B47" i="3"/>
  <c r="T46" i="3"/>
  <c r="P46" i="3"/>
  <c r="X46" i="3" s="1"/>
  <c r="L46" i="3"/>
  <c r="H46" i="3"/>
  <c r="N46" i="3" s="1"/>
  <c r="D46" i="3"/>
  <c r="B46" i="3"/>
  <c r="T45" i="3"/>
  <c r="P45" i="3"/>
  <c r="H45" i="3"/>
  <c r="D45" i="3"/>
  <c r="L45" i="3" s="1"/>
  <c r="N45" i="3" s="1"/>
  <c r="B45" i="3"/>
  <c r="T44" i="3"/>
  <c r="P44" i="3"/>
  <c r="X44" i="3" s="1"/>
  <c r="Z44" i="3" s="1"/>
  <c r="H44" i="3"/>
  <c r="D44" i="3"/>
  <c r="L44" i="3" s="1"/>
  <c r="B44" i="3"/>
  <c r="T43" i="3"/>
  <c r="P43" i="3"/>
  <c r="X43" i="3" s="1"/>
  <c r="H43" i="3"/>
  <c r="D43" i="3"/>
  <c r="L43" i="3" s="1"/>
  <c r="B43" i="3"/>
  <c r="X42" i="3"/>
  <c r="T42" i="3"/>
  <c r="Z42" i="3" s="1"/>
  <c r="P42" i="3"/>
  <c r="H42" i="3"/>
  <c r="D42" i="3"/>
  <c r="L42" i="3" s="1"/>
  <c r="B42" i="3"/>
  <c r="T41" i="3"/>
  <c r="P41" i="3"/>
  <c r="X41" i="3" s="1"/>
  <c r="Z41" i="3" s="1"/>
  <c r="H41" i="3"/>
  <c r="D41" i="3"/>
  <c r="B41" i="3"/>
  <c r="T40" i="3"/>
  <c r="P40" i="3"/>
  <c r="X40" i="3" s="1"/>
  <c r="H40" i="3"/>
  <c r="D40" i="3"/>
  <c r="L40" i="3" s="1"/>
  <c r="N40" i="3" s="1"/>
  <c r="B40" i="3"/>
  <c r="T39" i="3"/>
  <c r="P39" i="3"/>
  <c r="X39" i="3" s="1"/>
  <c r="H39" i="3"/>
  <c r="N39" i="3" s="1"/>
  <c r="D39" i="3"/>
  <c r="L39" i="3" s="1"/>
  <c r="B39" i="3"/>
  <c r="T38" i="3"/>
  <c r="P38" i="3"/>
  <c r="X38" i="3" s="1"/>
  <c r="L38" i="3"/>
  <c r="H38" i="3"/>
  <c r="N38" i="3" s="1"/>
  <c r="D38" i="3"/>
  <c r="B38" i="3"/>
  <c r="T37" i="3"/>
  <c r="P37" i="3"/>
  <c r="H37" i="3"/>
  <c r="D37" i="3"/>
  <c r="L37" i="3" s="1"/>
  <c r="N37" i="3" s="1"/>
  <c r="B37" i="3"/>
  <c r="T36" i="3"/>
  <c r="P36" i="3"/>
  <c r="X36" i="3" s="1"/>
  <c r="Z36" i="3" s="1"/>
  <c r="H36" i="3"/>
  <c r="N36" i="3" s="1"/>
  <c r="D36" i="3"/>
  <c r="L36" i="3" s="1"/>
  <c r="B36" i="3"/>
  <c r="T35" i="3"/>
  <c r="P35" i="3"/>
  <c r="X35" i="3" s="1"/>
  <c r="H35" i="3"/>
  <c r="N35" i="3" s="1"/>
  <c r="D35" i="3"/>
  <c r="L35" i="3" s="1"/>
  <c r="B35" i="3"/>
  <c r="X34" i="3"/>
  <c r="T34" i="3"/>
  <c r="Z34" i="3" s="1"/>
  <c r="P34" i="3"/>
  <c r="H34" i="3"/>
  <c r="D34" i="3"/>
  <c r="L34" i="3" s="1"/>
  <c r="B34" i="3"/>
  <c r="T33" i="3"/>
  <c r="P33" i="3"/>
  <c r="X33" i="3" s="1"/>
  <c r="Z33" i="3" s="1"/>
  <c r="H33" i="3"/>
  <c r="D33" i="3"/>
  <c r="B33" i="3"/>
  <c r="T32" i="3"/>
  <c r="P32" i="3"/>
  <c r="X32" i="3" s="1"/>
  <c r="H32" i="3"/>
  <c r="D32" i="3"/>
  <c r="L32" i="3" s="1"/>
  <c r="N32" i="3" s="1"/>
  <c r="B32" i="3"/>
  <c r="T31" i="3"/>
  <c r="Z31" i="3" s="1"/>
  <c r="P31" i="3"/>
  <c r="X31" i="3" s="1"/>
  <c r="H31" i="3"/>
  <c r="D31" i="3"/>
  <c r="L31" i="3" s="1"/>
  <c r="B31" i="3"/>
  <c r="T30" i="3"/>
  <c r="P30" i="3"/>
  <c r="X30" i="3" s="1"/>
  <c r="L30" i="3"/>
  <c r="H30" i="3"/>
  <c r="N30" i="3" s="1"/>
  <c r="D30" i="3"/>
  <c r="B30" i="3"/>
  <c r="T29" i="3"/>
  <c r="P29" i="3"/>
  <c r="H29" i="3"/>
  <c r="D29" i="3"/>
  <c r="L29" i="3" s="1"/>
  <c r="N29" i="3" s="1"/>
  <c r="B29" i="3"/>
  <c r="T28" i="3"/>
  <c r="P28" i="3"/>
  <c r="X28" i="3" s="1"/>
  <c r="Z28" i="3" s="1"/>
  <c r="H28" i="3"/>
  <c r="D28" i="3"/>
  <c r="L28" i="3" s="1"/>
  <c r="B28" i="3"/>
  <c r="T27" i="3"/>
  <c r="P27" i="3"/>
  <c r="X27" i="3" s="1"/>
  <c r="H27" i="3"/>
  <c r="N27" i="3" s="1"/>
  <c r="D27" i="3"/>
  <c r="L27" i="3" s="1"/>
  <c r="B27" i="3"/>
  <c r="X26" i="3"/>
  <c r="T26" i="3"/>
  <c r="Z26" i="3" s="1"/>
  <c r="P26" i="3"/>
  <c r="H26" i="3"/>
  <c r="N26" i="3" s="1"/>
  <c r="D26" i="3"/>
  <c r="L26" i="3" s="1"/>
  <c r="B26" i="3"/>
  <c r="T25" i="3"/>
  <c r="P25" i="3"/>
  <c r="X25" i="3" s="1"/>
  <c r="Z25" i="3" s="1"/>
  <c r="H25" i="3"/>
  <c r="D25" i="3"/>
  <c r="B25" i="3"/>
  <c r="T24" i="3"/>
  <c r="P24" i="3"/>
  <c r="X24" i="3" s="1"/>
  <c r="H24" i="3"/>
  <c r="D24" i="3"/>
  <c r="L24" i="3" s="1"/>
  <c r="N24" i="3" s="1"/>
  <c r="B24" i="3"/>
  <c r="T23" i="3"/>
  <c r="P23" i="3"/>
  <c r="X23" i="3" s="1"/>
  <c r="H23" i="3"/>
  <c r="D23" i="3"/>
  <c r="L23" i="3" s="1"/>
  <c r="B23" i="3"/>
  <c r="T22" i="3"/>
  <c r="Z22" i="3" s="1"/>
  <c r="P22" i="3"/>
  <c r="X22" i="3" s="1"/>
  <c r="L22" i="3"/>
  <c r="H22" i="3"/>
  <c r="N22" i="3" s="1"/>
  <c r="D22" i="3"/>
  <c r="B22" i="3"/>
  <c r="T21" i="3"/>
  <c r="P21" i="3"/>
  <c r="H21" i="3"/>
  <c r="D21" i="3"/>
  <c r="L21" i="3" s="1"/>
  <c r="N21" i="3" s="1"/>
  <c r="B21" i="3"/>
  <c r="T20" i="3"/>
  <c r="P20" i="3"/>
  <c r="X20" i="3" s="1"/>
  <c r="Z20" i="3" s="1"/>
  <c r="H20" i="3"/>
  <c r="D20" i="3"/>
  <c r="L20" i="3" s="1"/>
  <c r="B20" i="3"/>
  <c r="T19" i="3"/>
  <c r="Z19" i="3" s="1"/>
  <c r="P19" i="3"/>
  <c r="X19" i="3" s="1"/>
  <c r="H19" i="3"/>
  <c r="D19" i="3"/>
  <c r="L19" i="3" s="1"/>
  <c r="B19" i="3"/>
  <c r="X18" i="3"/>
  <c r="T18" i="3"/>
  <c r="Z18" i="3" s="1"/>
  <c r="P18" i="3"/>
  <c r="H18" i="3"/>
  <c r="N18" i="3" s="1"/>
  <c r="D18" i="3"/>
  <c r="L18" i="3" s="1"/>
  <c r="B18" i="3"/>
  <c r="T17" i="3"/>
  <c r="P17" i="3"/>
  <c r="X17" i="3" s="1"/>
  <c r="Z17" i="3" s="1"/>
  <c r="H17" i="3"/>
  <c r="D17" i="3"/>
  <c r="B17" i="3"/>
  <c r="T16" i="3"/>
  <c r="Z16" i="3" s="1"/>
  <c r="P16" i="3"/>
  <c r="X16" i="3" s="1"/>
  <c r="H16" i="3"/>
  <c r="D16" i="3"/>
  <c r="D12" i="3" s="1"/>
  <c r="B16" i="3"/>
  <c r="T15" i="3"/>
  <c r="P15" i="3"/>
  <c r="X15" i="3" s="1"/>
  <c r="H15" i="3"/>
  <c r="H12" i="3" s="1"/>
  <c r="D15" i="3"/>
  <c r="L15" i="3" s="1"/>
  <c r="B15" i="3"/>
  <c r="T14" i="3"/>
  <c r="P14" i="3"/>
  <c r="X14" i="3" s="1"/>
  <c r="L14" i="3"/>
  <c r="H14" i="3"/>
  <c r="N14" i="3" s="1"/>
  <c r="D14" i="3"/>
  <c r="B14" i="3"/>
  <c r="T13" i="3"/>
  <c r="P13" i="3"/>
  <c r="H13" i="3"/>
  <c r="D13" i="3"/>
  <c r="L13" i="3" s="1"/>
  <c r="N13" i="3" s="1"/>
  <c r="B13" i="3"/>
  <c r="P12" i="3"/>
  <c r="R244" i="3" s="1"/>
  <c r="D4" i="3"/>
  <c r="L16" i="7" l="1"/>
  <c r="X22" i="7"/>
  <c r="L13" i="8"/>
  <c r="L34" i="11"/>
  <c r="L25" i="32"/>
  <c r="L15" i="99"/>
  <c r="L15" i="53"/>
  <c r="L24" i="37"/>
  <c r="X25" i="99"/>
  <c r="X22" i="97"/>
  <c r="L24" i="19"/>
  <c r="X13" i="20"/>
  <c r="L33" i="43"/>
  <c r="X21" i="46"/>
  <c r="L21" i="52"/>
  <c r="X22" i="53"/>
  <c r="X16" i="16"/>
  <c r="L15" i="5"/>
  <c r="L13" i="10"/>
  <c r="L25" i="10"/>
  <c r="L33" i="10"/>
  <c r="X34" i="13"/>
  <c r="L20" i="14"/>
  <c r="L13" i="23"/>
  <c r="X22" i="25"/>
  <c r="L25" i="26"/>
  <c r="X16" i="31"/>
  <c r="X34" i="4"/>
  <c r="X24" i="5"/>
  <c r="L21" i="25"/>
  <c r="L24" i="44"/>
  <c r="X24" i="52"/>
  <c r="X24" i="53"/>
  <c r="X24" i="97"/>
  <c r="X22" i="99"/>
  <c r="L33" i="99"/>
  <c r="L20" i="44"/>
  <c r="L16" i="47"/>
  <c r="X25" i="49"/>
  <c r="X33" i="49"/>
  <c r="L34" i="98"/>
  <c r="X15" i="10"/>
  <c r="X21" i="13"/>
  <c r="X21" i="19"/>
  <c r="L29" i="19"/>
  <c r="X16" i="22"/>
  <c r="X25" i="98"/>
  <c r="L13" i="99"/>
  <c r="L16" i="14"/>
  <c r="X22" i="14"/>
  <c r="X24" i="25"/>
  <c r="L15" i="26"/>
  <c r="X16" i="5"/>
  <c r="L24" i="5"/>
  <c r="X16" i="7"/>
  <c r="L24" i="7"/>
  <c r="X25" i="8"/>
  <c r="X29" i="11"/>
  <c r="X34" i="11"/>
  <c r="L20" i="13"/>
  <c r="L29" i="20"/>
  <c r="L13" i="25"/>
  <c r="X16" i="29"/>
  <c r="L24" i="29"/>
  <c r="X13" i="31"/>
  <c r="X33" i="37"/>
  <c r="L34" i="46"/>
  <c r="X16" i="52"/>
  <c r="L24" i="52"/>
  <c r="L21" i="53"/>
  <c r="X25" i="53"/>
  <c r="X33" i="53"/>
  <c r="X20" i="5"/>
  <c r="X29" i="8"/>
  <c r="X16" i="10"/>
  <c r="L24" i="10"/>
  <c r="X13" i="11"/>
  <c r="L16" i="13"/>
  <c r="L33" i="20"/>
  <c r="L34" i="22"/>
  <c r="L22" i="29"/>
  <c r="L13" i="35"/>
  <c r="X15" i="37"/>
  <c r="X29" i="37"/>
  <c r="X22" i="41"/>
  <c r="L16" i="98"/>
  <c r="X34" i="99"/>
  <c r="L22" i="43"/>
  <c r="X33" i="47"/>
  <c r="X16" i="49"/>
  <c r="L24" i="49"/>
  <c r="X13" i="50"/>
  <c r="L21" i="50"/>
  <c r="X33" i="50"/>
  <c r="L13" i="53"/>
  <c r="L16" i="11"/>
  <c r="L22" i="13"/>
  <c r="X15" i="16"/>
  <c r="X21" i="17"/>
  <c r="L22" i="22"/>
  <c r="L24" i="26"/>
  <c r="X34" i="29"/>
  <c r="L15" i="31"/>
  <c r="X21" i="31"/>
  <c r="L29" i="38"/>
  <c r="L15" i="43"/>
  <c r="X21" i="43"/>
  <c r="L29" i="43"/>
  <c r="L21" i="44"/>
  <c r="X25" i="44"/>
  <c r="X33" i="44"/>
  <c r="X20" i="46"/>
  <c r="L22" i="46"/>
  <c r="X15" i="47"/>
  <c r="X29" i="47"/>
  <c r="X34" i="47"/>
  <c r="X20" i="49"/>
  <c r="L13" i="97"/>
  <c r="L33" i="97"/>
  <c r="X15" i="98"/>
  <c r="L20" i="98"/>
  <c r="L13" i="7"/>
  <c r="L25" i="7"/>
  <c r="L33" i="7"/>
  <c r="L22" i="8"/>
  <c r="L15" i="10"/>
  <c r="X21" i="10"/>
  <c r="L29" i="10"/>
  <c r="L34" i="10"/>
  <c r="L13" i="14"/>
  <c r="L33" i="14"/>
  <c r="R20" i="16"/>
  <c r="X34" i="17"/>
  <c r="L16" i="22"/>
  <c r="X20" i="23"/>
  <c r="X29" i="23"/>
  <c r="X34" i="23"/>
  <c r="X25" i="34"/>
  <c r="L16" i="35"/>
  <c r="X22" i="35"/>
  <c r="X16" i="40"/>
  <c r="L24" i="40"/>
  <c r="X20" i="52"/>
  <c r="L22" i="52"/>
  <c r="X15" i="53"/>
  <c r="L29" i="99"/>
  <c r="L34" i="99"/>
  <c r="X25" i="4"/>
  <c r="X33" i="4"/>
  <c r="L33" i="31"/>
  <c r="X16" i="41"/>
  <c r="V34" i="53"/>
  <c r="L29" i="97"/>
  <c r="X21" i="5"/>
  <c r="L29" i="14"/>
  <c r="X25" i="17"/>
  <c r="R16" i="98"/>
  <c r="L21" i="32"/>
  <c r="L24" i="43"/>
  <c r="X34" i="46"/>
  <c r="X16" i="98"/>
  <c r="L25" i="4"/>
  <c r="L33" i="4"/>
  <c r="X34" i="5"/>
  <c r="X34" i="7"/>
  <c r="X24" i="8"/>
  <c r="L29" i="8"/>
  <c r="L34" i="8"/>
  <c r="X20" i="11"/>
  <c r="L21" i="16"/>
  <c r="X25" i="16"/>
  <c r="X13" i="19"/>
  <c r="L33" i="19"/>
  <c r="X20" i="25"/>
  <c r="X22" i="28"/>
  <c r="L13" i="29"/>
  <c r="L25" i="29"/>
  <c r="X29" i="31"/>
  <c r="X34" i="31"/>
  <c r="L33" i="34"/>
  <c r="X29" i="35"/>
  <c r="X21" i="37"/>
  <c r="X16" i="38"/>
  <c r="L25" i="40"/>
  <c r="L22" i="41"/>
  <c r="L13" i="44"/>
  <c r="L20" i="46"/>
  <c r="X21" i="49"/>
  <c r="X16" i="50"/>
  <c r="L33" i="52"/>
  <c r="L24" i="97"/>
  <c r="L13" i="98"/>
  <c r="V25" i="17"/>
  <c r="J18" i="19"/>
  <c r="L22" i="37"/>
  <c r="Z12" i="47"/>
  <c r="X22" i="98"/>
  <c r="L34" i="4"/>
  <c r="X13" i="5"/>
  <c r="X25" i="5"/>
  <c r="X33" i="5"/>
  <c r="L24" i="11"/>
  <c r="X13" i="13"/>
  <c r="X29" i="16"/>
  <c r="X15" i="22"/>
  <c r="L24" i="23"/>
  <c r="X33" i="25"/>
  <c r="L20" i="28"/>
  <c r="X24" i="28"/>
  <c r="L15" i="34"/>
  <c r="X13" i="35"/>
  <c r="X25" i="35"/>
  <c r="X33" i="35"/>
  <c r="L13" i="37"/>
  <c r="X20" i="38"/>
  <c r="X21" i="40"/>
  <c r="L34" i="44"/>
  <c r="L22" i="50"/>
  <c r="J15" i="52"/>
  <c r="L25" i="38"/>
  <c r="L15" i="41"/>
  <c r="L13" i="43"/>
  <c r="X29" i="43"/>
  <c r="L25" i="47"/>
  <c r="L25" i="50"/>
  <c r="X15" i="52"/>
  <c r="L20" i="7"/>
  <c r="L13" i="28"/>
  <c r="L21" i="37"/>
  <c r="X29" i="53"/>
  <c r="L21" i="99"/>
  <c r="L21" i="4"/>
  <c r="L13" i="5"/>
  <c r="X15" i="8"/>
  <c r="X25" i="10"/>
  <c r="L15" i="13"/>
  <c r="L21" i="13"/>
  <c r="X22" i="13"/>
  <c r="X24" i="14"/>
  <c r="X24" i="19"/>
  <c r="L34" i="19"/>
  <c r="L24" i="20"/>
  <c r="J33" i="20"/>
  <c r="X16" i="23"/>
  <c r="L21" i="23"/>
  <c r="X25" i="23"/>
  <c r="X15" i="26"/>
  <c r="X24" i="26"/>
  <c r="X34" i="28"/>
  <c r="L34" i="29"/>
  <c r="L25" i="35"/>
  <c r="L33" i="35"/>
  <c r="X24" i="37"/>
  <c r="L34" i="37"/>
  <c r="X13" i="38"/>
  <c r="X29" i="38"/>
  <c r="X13" i="40"/>
  <c r="L21" i="40"/>
  <c r="X33" i="41"/>
  <c r="X22" i="44"/>
  <c r="X15" i="46"/>
  <c r="X25" i="47"/>
  <c r="L25" i="49"/>
  <c r="X20" i="50"/>
  <c r="X29" i="50"/>
  <c r="X34" i="50"/>
  <c r="X22" i="52"/>
  <c r="X13" i="97"/>
  <c r="X16" i="99"/>
  <c r="L16" i="28"/>
  <c r="X22" i="32"/>
  <c r="L20" i="34"/>
  <c r="L21" i="38"/>
  <c r="X34" i="38"/>
  <c r="L29" i="41"/>
  <c r="L20" i="47"/>
  <c r="Z12" i="52"/>
  <c r="R22" i="98"/>
  <c r="X34" i="14"/>
  <c r="L21" i="7"/>
  <c r="Z16" i="16"/>
  <c r="R24" i="47"/>
  <c r="V15" i="13"/>
  <c r="D18" i="25"/>
  <c r="D27" i="25" s="1"/>
  <c r="X21" i="25"/>
  <c r="X21" i="32"/>
  <c r="X25" i="32"/>
  <c r="F15" i="35"/>
  <c r="X21" i="35"/>
  <c r="Z12" i="38"/>
  <c r="L24" i="38"/>
  <c r="Z12" i="97"/>
  <c r="R21" i="98"/>
  <c r="V22" i="13"/>
  <c r="L13" i="4"/>
  <c r="X29" i="4"/>
  <c r="L29" i="5"/>
  <c r="X21" i="7"/>
  <c r="X16" i="8"/>
  <c r="X33" i="8"/>
  <c r="X20" i="10"/>
  <c r="L21" i="11"/>
  <c r="X25" i="11"/>
  <c r="X33" i="11"/>
  <c r="L29" i="13"/>
  <c r="X33" i="14"/>
  <c r="X25" i="19"/>
  <c r="L13" i="20"/>
  <c r="L25" i="20"/>
  <c r="X34" i="20"/>
  <c r="Z12" i="25"/>
  <c r="X15" i="25"/>
  <c r="L20" i="25"/>
  <c r="L29" i="25"/>
  <c r="L34" i="25"/>
  <c r="D18" i="28"/>
  <c r="X21" i="28"/>
  <c r="L34" i="28"/>
  <c r="X13" i="29"/>
  <c r="L13" i="31"/>
  <c r="X20" i="31"/>
  <c r="X25" i="37"/>
  <c r="X29" i="40"/>
  <c r="X20" i="44"/>
  <c r="X29" i="44"/>
  <c r="L22" i="49"/>
  <c r="X29" i="52"/>
  <c r="N12" i="53"/>
  <c r="L22" i="97"/>
  <c r="R22" i="41"/>
  <c r="L25" i="41"/>
  <c r="Z12" i="11"/>
  <c r="R21" i="14"/>
  <c r="X13" i="23"/>
  <c r="J27" i="37"/>
  <c r="V18" i="41"/>
  <c r="R24" i="98"/>
  <c r="R18" i="22"/>
  <c r="L15" i="4"/>
  <c r="L24" i="4"/>
  <c r="X22" i="5"/>
  <c r="L25" i="5"/>
  <c r="L29" i="7"/>
  <c r="X13" i="10"/>
  <c r="L13" i="13"/>
  <c r="X15" i="14"/>
  <c r="X21" i="14"/>
  <c r="X12" i="17"/>
  <c r="X15" i="17"/>
  <c r="T18" i="17"/>
  <c r="T27" i="17" s="1"/>
  <c r="L33" i="17"/>
  <c r="L15" i="19"/>
  <c r="V21" i="20"/>
  <c r="X25" i="20"/>
  <c r="L21" i="22"/>
  <c r="L25" i="22"/>
  <c r="R29" i="22"/>
  <c r="L22" i="23"/>
  <c r="X24" i="23"/>
  <c r="F22" i="25"/>
  <c r="L29" i="26"/>
  <c r="L34" i="26"/>
  <c r="X12" i="28"/>
  <c r="L21" i="28"/>
  <c r="L25" i="28"/>
  <c r="Z12" i="31"/>
  <c r="V16" i="31"/>
  <c r="N25" i="32"/>
  <c r="X34" i="32"/>
  <c r="R15" i="34"/>
  <c r="X21" i="34"/>
  <c r="X34" i="34"/>
  <c r="L29" i="35"/>
  <c r="L34" i="35"/>
  <c r="V20" i="38"/>
  <c r="V21" i="38"/>
  <c r="X25" i="38"/>
  <c r="X15" i="44"/>
  <c r="L24" i="46"/>
  <c r="X25" i="46"/>
  <c r="X12" i="47"/>
  <c r="L22" i="47"/>
  <c r="L24" i="50"/>
  <c r="L33" i="50"/>
  <c r="L29" i="52"/>
  <c r="L20" i="53"/>
  <c r="J21" i="53"/>
  <c r="F15" i="98"/>
  <c r="X24" i="98"/>
  <c r="V18" i="99"/>
  <c r="X21" i="99"/>
  <c r="L24" i="99"/>
  <c r="F33" i="34"/>
  <c r="J15" i="4"/>
  <c r="L29" i="4"/>
  <c r="L20" i="5"/>
  <c r="L22" i="7"/>
  <c r="L15" i="8"/>
  <c r="X21" i="8"/>
  <c r="N12" i="10"/>
  <c r="L22" i="11"/>
  <c r="L24" i="13"/>
  <c r="R20" i="14"/>
  <c r="X13" i="16"/>
  <c r="V15" i="17"/>
  <c r="X12" i="19"/>
  <c r="L20" i="19"/>
  <c r="R36" i="23"/>
  <c r="L33" i="25"/>
  <c r="X16" i="26"/>
  <c r="V29" i="28"/>
  <c r="L24" i="31"/>
  <c r="J33" i="32"/>
  <c r="F36" i="32"/>
  <c r="V15" i="34"/>
  <c r="R36" i="34"/>
  <c r="J36" i="37"/>
  <c r="L15" i="38"/>
  <c r="J27" i="38"/>
  <c r="F20" i="44"/>
  <c r="R15" i="47"/>
  <c r="R20" i="49"/>
  <c r="L16" i="97"/>
  <c r="R24" i="23"/>
  <c r="X22" i="11"/>
  <c r="Z13" i="16"/>
  <c r="L16" i="16"/>
  <c r="F18" i="16"/>
  <c r="J27" i="17"/>
  <c r="L24" i="22"/>
  <c r="J15" i="23"/>
  <c r="R22" i="23"/>
  <c r="F33" i="25"/>
  <c r="X24" i="31"/>
  <c r="L16" i="32"/>
  <c r="L22" i="32"/>
  <c r="N12" i="34"/>
  <c r="J27" i="34"/>
  <c r="X33" i="34"/>
  <c r="L20" i="35"/>
  <c r="V18" i="38"/>
  <c r="R36" i="38"/>
  <c r="X34" i="40"/>
  <c r="J21" i="43"/>
  <c r="J15" i="46"/>
  <c r="V18" i="47"/>
  <c r="X22" i="47"/>
  <c r="X29" i="49"/>
  <c r="J34" i="49"/>
  <c r="L15" i="97"/>
  <c r="X16" i="97"/>
  <c r="L34" i="97"/>
  <c r="D18" i="98"/>
  <c r="D27" i="98" s="1"/>
  <c r="X29" i="98"/>
  <c r="X20" i="99"/>
  <c r="X15" i="4"/>
  <c r="L22" i="4"/>
  <c r="J15" i="10"/>
  <c r="P18" i="10"/>
  <c r="P27" i="10" s="1"/>
  <c r="X33" i="10"/>
  <c r="D18" i="11"/>
  <c r="D27" i="11" s="1"/>
  <c r="R18" i="16"/>
  <c r="X13" i="17"/>
  <c r="F36" i="17"/>
  <c r="X22" i="19"/>
  <c r="L15" i="20"/>
  <c r="X16" i="20"/>
  <c r="J20" i="22"/>
  <c r="R29" i="23"/>
  <c r="L20" i="26"/>
  <c r="F36" i="28"/>
  <c r="R29" i="29"/>
  <c r="L16" i="34"/>
  <c r="L29" i="34"/>
  <c r="F25" i="35"/>
  <c r="L25" i="37"/>
  <c r="L20" i="43"/>
  <c r="X13" i="44"/>
  <c r="J29" i="46"/>
  <c r="J21" i="47"/>
  <c r="R33" i="23"/>
  <c r="D18" i="7"/>
  <c r="D27" i="7" s="1"/>
  <c r="X20" i="8"/>
  <c r="L20" i="10"/>
  <c r="L20" i="11"/>
  <c r="X12" i="13"/>
  <c r="L25" i="14"/>
  <c r="X29" i="14"/>
  <c r="V33" i="17"/>
  <c r="X20" i="19"/>
  <c r="V36" i="25"/>
  <c r="R25" i="26"/>
  <c r="R36" i="26"/>
  <c r="L29" i="28"/>
  <c r="N12" i="31"/>
  <c r="J15" i="34"/>
  <c r="F24" i="35"/>
  <c r="L13" i="38"/>
  <c r="R22" i="38"/>
  <c r="X13" i="41"/>
  <c r="L24" i="41"/>
  <c r="V18" i="46"/>
  <c r="R15" i="49"/>
  <c r="J15" i="50"/>
  <c r="X21" i="52"/>
  <c r="L29" i="53"/>
  <c r="L34" i="53"/>
  <c r="X21" i="97"/>
  <c r="R22" i="97"/>
  <c r="L25" i="97"/>
  <c r="X29" i="97"/>
  <c r="X13" i="98"/>
  <c r="L25" i="99"/>
  <c r="L21" i="5"/>
  <c r="J29" i="8"/>
  <c r="Z12" i="13"/>
  <c r="L15" i="17"/>
  <c r="L21" i="17"/>
  <c r="J15" i="20"/>
  <c r="L16" i="25"/>
  <c r="X20" i="26"/>
  <c r="L22" i="26"/>
  <c r="X16" i="28"/>
  <c r="F29" i="28"/>
  <c r="V22" i="29"/>
  <c r="X12" i="31"/>
  <c r="L21" i="31"/>
  <c r="L12" i="32"/>
  <c r="L15" i="32"/>
  <c r="F25" i="32"/>
  <c r="F34" i="32"/>
  <c r="X22" i="34"/>
  <c r="J15" i="37"/>
  <c r="P18" i="37"/>
  <c r="P27" i="37" s="1"/>
  <c r="J34" i="38"/>
  <c r="X12" i="41"/>
  <c r="X24" i="41"/>
  <c r="V31" i="41"/>
  <c r="L22" i="44"/>
  <c r="L13" i="49"/>
  <c r="R18" i="49"/>
  <c r="L12" i="98"/>
  <c r="F36" i="98"/>
  <c r="N12" i="5"/>
  <c r="R22" i="5"/>
  <c r="R27" i="11"/>
  <c r="X16" i="13"/>
  <c r="R15" i="16"/>
  <c r="R16" i="16"/>
  <c r="R36" i="16"/>
  <c r="X29" i="22"/>
  <c r="L22" i="25"/>
  <c r="V33" i="25"/>
  <c r="J27" i="26"/>
  <c r="F22" i="28"/>
  <c r="R18" i="32"/>
  <c r="X15" i="34"/>
  <c r="R25" i="37"/>
  <c r="J31" i="37"/>
  <c r="X20" i="40"/>
  <c r="Z12" i="41"/>
  <c r="V20" i="41"/>
  <c r="R24" i="41"/>
  <c r="X25" i="41"/>
  <c r="F22" i="44"/>
  <c r="X13" i="46"/>
  <c r="F16" i="47"/>
  <c r="L15" i="52"/>
  <c r="V21" i="52"/>
  <c r="X34" i="52"/>
  <c r="L25" i="53"/>
  <c r="V21" i="97"/>
  <c r="L24" i="98"/>
  <c r="X24" i="4"/>
  <c r="Z25" i="4"/>
  <c r="F16" i="5"/>
  <c r="F18" i="5"/>
  <c r="R24" i="5"/>
  <c r="L15" i="7"/>
  <c r="F22" i="7"/>
  <c r="L24" i="8"/>
  <c r="J25" i="8"/>
  <c r="F18" i="11"/>
  <c r="R34" i="11"/>
  <c r="X15" i="13"/>
  <c r="F20" i="13"/>
  <c r="F27" i="13"/>
  <c r="X12" i="14"/>
  <c r="R16" i="14"/>
  <c r="X25" i="14"/>
  <c r="P18" i="16"/>
  <c r="P27" i="16" s="1"/>
  <c r="P31" i="16" s="1"/>
  <c r="P36" i="16" s="1"/>
  <c r="L29" i="17"/>
  <c r="N29" i="40"/>
  <c r="L29" i="40"/>
  <c r="L21" i="26"/>
  <c r="N21" i="26"/>
  <c r="H18" i="4"/>
  <c r="H27" i="4" s="1"/>
  <c r="H31" i="4" s="1"/>
  <c r="F21" i="4"/>
  <c r="J33" i="4"/>
  <c r="P18" i="5"/>
  <c r="P27" i="5" s="1"/>
  <c r="L16" i="5"/>
  <c r="R18" i="5"/>
  <c r="V20" i="5"/>
  <c r="R16" i="7"/>
  <c r="F21" i="7"/>
  <c r="F24" i="7"/>
  <c r="N12" i="8"/>
  <c r="X13" i="8"/>
  <c r="V15" i="8"/>
  <c r="V21" i="8"/>
  <c r="J36" i="8"/>
  <c r="R16" i="10"/>
  <c r="X22" i="10"/>
  <c r="J31" i="10"/>
  <c r="F15" i="11"/>
  <c r="F16" i="11"/>
  <c r="H18" i="11"/>
  <c r="H27" i="11" s="1"/>
  <c r="V20" i="11"/>
  <c r="J33" i="11"/>
  <c r="R16" i="13"/>
  <c r="X33" i="13"/>
  <c r="R25" i="14"/>
  <c r="L22" i="16"/>
  <c r="X24" i="16"/>
  <c r="J15" i="17"/>
  <c r="L25" i="19"/>
  <c r="X20" i="22"/>
  <c r="X13" i="4"/>
  <c r="Z15" i="4"/>
  <c r="R15" i="5"/>
  <c r="N16" i="5"/>
  <c r="V18" i="5"/>
  <c r="H18" i="8"/>
  <c r="H27" i="8" s="1"/>
  <c r="N27" i="8" s="1"/>
  <c r="R15" i="10"/>
  <c r="J27" i="10"/>
  <c r="J34" i="10"/>
  <c r="V18" i="11"/>
  <c r="V21" i="11"/>
  <c r="J29" i="11"/>
  <c r="F22" i="13"/>
  <c r="L25" i="13"/>
  <c r="R15" i="14"/>
  <c r="P18" i="14"/>
  <c r="P27" i="14" s="1"/>
  <c r="R29" i="14"/>
  <c r="J21" i="16"/>
  <c r="J22" i="16"/>
  <c r="J27" i="16"/>
  <c r="L13" i="16"/>
  <c r="V18" i="16"/>
  <c r="H18" i="17"/>
  <c r="X22" i="17"/>
  <c r="V20" i="26"/>
  <c r="V22" i="26"/>
  <c r="J22" i="40"/>
  <c r="J36" i="40"/>
  <c r="J31" i="40"/>
  <c r="J27" i="40"/>
  <c r="J15" i="40"/>
  <c r="J21" i="40"/>
  <c r="J34" i="40"/>
  <c r="J33" i="40"/>
  <c r="J18" i="40"/>
  <c r="J25" i="40"/>
  <c r="H18" i="40"/>
  <c r="H27" i="40" s="1"/>
  <c r="J29" i="40"/>
  <c r="J29" i="4"/>
  <c r="L22" i="5"/>
  <c r="X13" i="7"/>
  <c r="X20" i="7"/>
  <c r="T18" i="8"/>
  <c r="T27" i="8" s="1"/>
  <c r="Z27" i="8" s="1"/>
  <c r="L21" i="8"/>
  <c r="R20" i="10"/>
  <c r="L12" i="11"/>
  <c r="L13" i="11"/>
  <c r="J15" i="11"/>
  <c r="J25" i="11"/>
  <c r="J36" i="11"/>
  <c r="V16" i="13"/>
  <c r="X20" i="13"/>
  <c r="J24" i="13"/>
  <c r="F25" i="13"/>
  <c r="R18" i="14"/>
  <c r="L21" i="14"/>
  <c r="L22" i="14"/>
  <c r="F27" i="14"/>
  <c r="R33" i="14"/>
  <c r="V34" i="14"/>
  <c r="N12" i="16"/>
  <c r="J21" i="17"/>
  <c r="F21" i="19"/>
  <c r="F24" i="19"/>
  <c r="F22" i="19"/>
  <c r="F34" i="19"/>
  <c r="F25" i="19"/>
  <c r="F15" i="19"/>
  <c r="D18" i="19"/>
  <c r="D27" i="19" s="1"/>
  <c r="D31" i="19" s="1"/>
  <c r="L12" i="19"/>
  <c r="F36" i="19"/>
  <c r="V22" i="34"/>
  <c r="Z12" i="34"/>
  <c r="V29" i="34"/>
  <c r="V27" i="34"/>
  <c r="V16" i="34"/>
  <c r="V33" i="34"/>
  <c r="V31" i="34"/>
  <c r="V18" i="34"/>
  <c r="V20" i="34"/>
  <c r="T18" i="34"/>
  <c r="T27" i="34" s="1"/>
  <c r="V36" i="34"/>
  <c r="V25" i="34"/>
  <c r="X20" i="4"/>
  <c r="X21" i="4"/>
  <c r="Z33" i="4"/>
  <c r="J36" i="4"/>
  <c r="V15" i="5"/>
  <c r="F20" i="5"/>
  <c r="J24" i="5"/>
  <c r="F18" i="7"/>
  <c r="R20" i="7"/>
  <c r="X24" i="7"/>
  <c r="V18" i="8"/>
  <c r="F21" i="8"/>
  <c r="L33" i="8"/>
  <c r="F24" i="10"/>
  <c r="N12" i="11"/>
  <c r="X15" i="11"/>
  <c r="X16" i="11"/>
  <c r="F20" i="11"/>
  <c r="F21" i="11"/>
  <c r="R20" i="13"/>
  <c r="X29" i="13"/>
  <c r="J21" i="14"/>
  <c r="V27" i="14"/>
  <c r="F31" i="14"/>
  <c r="Z34" i="14"/>
  <c r="X12" i="16"/>
  <c r="R24" i="16"/>
  <c r="R22" i="16"/>
  <c r="R29" i="16"/>
  <c r="R25" i="16"/>
  <c r="L20" i="16"/>
  <c r="L20" i="17"/>
  <c r="F31" i="19"/>
  <c r="L22" i="20"/>
  <c r="J21" i="23"/>
  <c r="J33" i="23"/>
  <c r="J29" i="23"/>
  <c r="J25" i="23"/>
  <c r="N12" i="23"/>
  <c r="J24" i="23"/>
  <c r="J31" i="23"/>
  <c r="J27" i="23"/>
  <c r="J36" i="23"/>
  <c r="X20" i="29"/>
  <c r="X29" i="34"/>
  <c r="J20" i="44"/>
  <c r="J15" i="44"/>
  <c r="J24" i="44"/>
  <c r="J25" i="44"/>
  <c r="J22" i="44"/>
  <c r="J36" i="44"/>
  <c r="J29" i="44"/>
  <c r="N12" i="44"/>
  <c r="J33" i="44"/>
  <c r="J25" i="4"/>
  <c r="X15" i="5"/>
  <c r="V16" i="5"/>
  <c r="J22" i="5"/>
  <c r="X29" i="5"/>
  <c r="J18" i="7"/>
  <c r="H18" i="10"/>
  <c r="H27" i="10" s="1"/>
  <c r="H31" i="10" s="1"/>
  <c r="J24" i="11"/>
  <c r="F15" i="13"/>
  <c r="F16" i="13"/>
  <c r="F18" i="13"/>
  <c r="R21" i="13"/>
  <c r="R22" i="13"/>
  <c r="X24" i="13"/>
  <c r="V31" i="14"/>
  <c r="L34" i="14"/>
  <c r="R36" i="14"/>
  <c r="X22" i="16"/>
  <c r="Z22" i="16"/>
  <c r="J18" i="17"/>
  <c r="J25" i="17"/>
  <c r="J24" i="17"/>
  <c r="R34" i="19"/>
  <c r="R18" i="19"/>
  <c r="R20" i="19"/>
  <c r="R16" i="19"/>
  <c r="F27" i="19"/>
  <c r="V34" i="32"/>
  <c r="Z12" i="32"/>
  <c r="V20" i="32"/>
  <c r="T18" i="32"/>
  <c r="T27" i="32" s="1"/>
  <c r="V15" i="32"/>
  <c r="V16" i="32"/>
  <c r="V18" i="32"/>
  <c r="X16" i="4"/>
  <c r="V21" i="4"/>
  <c r="Z29" i="4"/>
  <c r="Z12" i="5"/>
  <c r="N20" i="5"/>
  <c r="L33" i="5"/>
  <c r="F15" i="7"/>
  <c r="R18" i="7"/>
  <c r="L34" i="7"/>
  <c r="J15" i="8"/>
  <c r="L25" i="8"/>
  <c r="J33" i="8"/>
  <c r="X34" i="8"/>
  <c r="L16" i="10"/>
  <c r="J18" i="10"/>
  <c r="L22" i="10"/>
  <c r="J24" i="10"/>
  <c r="X29" i="10"/>
  <c r="V16" i="11"/>
  <c r="J21" i="11"/>
  <c r="J22" i="11"/>
  <c r="R18" i="13"/>
  <c r="V20" i="13"/>
  <c r="R24" i="13"/>
  <c r="X25" i="13"/>
  <c r="L33" i="13"/>
  <c r="L15" i="14"/>
  <c r="F34" i="14"/>
  <c r="Z12" i="16"/>
  <c r="X20" i="16"/>
  <c r="X21" i="16"/>
  <c r="L24" i="16"/>
  <c r="N12" i="17"/>
  <c r="L16" i="17"/>
  <c r="F33" i="19"/>
  <c r="X33" i="20"/>
  <c r="Z33" i="20"/>
  <c r="J22" i="23"/>
  <c r="F34" i="38"/>
  <c r="F20" i="38"/>
  <c r="F16" i="38"/>
  <c r="F18" i="38"/>
  <c r="Z12" i="17"/>
  <c r="F15" i="17"/>
  <c r="V16" i="17"/>
  <c r="V29" i="17"/>
  <c r="X33" i="17"/>
  <c r="X29" i="19"/>
  <c r="X33" i="19"/>
  <c r="L16" i="20"/>
  <c r="X24" i="20"/>
  <c r="X29" i="20"/>
  <c r="Z12" i="23"/>
  <c r="V21" i="23"/>
  <c r="L15" i="25"/>
  <c r="R18" i="25"/>
  <c r="L25" i="25"/>
  <c r="F29" i="25"/>
  <c r="R15" i="26"/>
  <c r="R29" i="26"/>
  <c r="L15" i="28"/>
  <c r="R18" i="28"/>
  <c r="F25" i="28"/>
  <c r="R18" i="29"/>
  <c r="L21" i="29"/>
  <c r="R15" i="31"/>
  <c r="V20" i="31"/>
  <c r="V22" i="31"/>
  <c r="J27" i="31"/>
  <c r="L13" i="32"/>
  <c r="R15" i="32"/>
  <c r="R21" i="32"/>
  <c r="F27" i="32"/>
  <c r="J36" i="32"/>
  <c r="P18" i="34"/>
  <c r="P27" i="34" s="1"/>
  <c r="P31" i="34" s="1"/>
  <c r="R21" i="34"/>
  <c r="F31" i="34"/>
  <c r="R33" i="34"/>
  <c r="J34" i="34"/>
  <c r="F20" i="35"/>
  <c r="L22" i="35"/>
  <c r="N21" i="37"/>
  <c r="F33" i="46"/>
  <c r="F16" i="46"/>
  <c r="F18" i="46"/>
  <c r="F36" i="46"/>
  <c r="F27" i="46"/>
  <c r="F21" i="46"/>
  <c r="F20" i="46"/>
  <c r="X24" i="47"/>
  <c r="Z33" i="98"/>
  <c r="X33" i="98"/>
  <c r="X34" i="16"/>
  <c r="D18" i="17"/>
  <c r="D27" i="17" s="1"/>
  <c r="X24" i="17"/>
  <c r="V27" i="17"/>
  <c r="V34" i="17"/>
  <c r="V15" i="19"/>
  <c r="V25" i="19"/>
  <c r="X20" i="20"/>
  <c r="L34" i="20"/>
  <c r="L15" i="22"/>
  <c r="R25" i="22"/>
  <c r="L33" i="22"/>
  <c r="V18" i="23"/>
  <c r="X12" i="25"/>
  <c r="F15" i="25"/>
  <c r="L24" i="25"/>
  <c r="F25" i="25"/>
  <c r="X13" i="26"/>
  <c r="F15" i="28"/>
  <c r="L24" i="28"/>
  <c r="X24" i="29"/>
  <c r="L29" i="29"/>
  <c r="R33" i="29"/>
  <c r="L29" i="31"/>
  <c r="X33" i="31"/>
  <c r="R27" i="32"/>
  <c r="F31" i="32"/>
  <c r="L12" i="34"/>
  <c r="L25" i="34"/>
  <c r="J31" i="34"/>
  <c r="X15" i="35"/>
  <c r="X16" i="35"/>
  <c r="F22" i="35"/>
  <c r="L24" i="35"/>
  <c r="L33" i="40"/>
  <c r="L29" i="49"/>
  <c r="Z33" i="99"/>
  <c r="X33" i="99"/>
  <c r="P18" i="26"/>
  <c r="P27" i="26" s="1"/>
  <c r="J31" i="26"/>
  <c r="J34" i="26"/>
  <c r="R36" i="29"/>
  <c r="R18" i="31"/>
  <c r="R33" i="31"/>
  <c r="L29" i="32"/>
  <c r="F25" i="34"/>
  <c r="R16" i="35"/>
  <c r="V22" i="37"/>
  <c r="L12" i="17"/>
  <c r="F16" i="17"/>
  <c r="V20" i="17"/>
  <c r="R21" i="17"/>
  <c r="R22" i="17"/>
  <c r="F29" i="17"/>
  <c r="V31" i="17"/>
  <c r="L16" i="19"/>
  <c r="L21" i="19"/>
  <c r="X21" i="20"/>
  <c r="L13" i="22"/>
  <c r="X21" i="22"/>
  <c r="X22" i="22"/>
  <c r="L29" i="22"/>
  <c r="X34" i="22"/>
  <c r="X29" i="25"/>
  <c r="F36" i="25"/>
  <c r="L16" i="26"/>
  <c r="R18" i="26"/>
  <c r="L33" i="26"/>
  <c r="J20" i="28"/>
  <c r="V33" i="28"/>
  <c r="V36" i="28"/>
  <c r="L15" i="29"/>
  <c r="X21" i="29"/>
  <c r="V18" i="31"/>
  <c r="L22" i="31"/>
  <c r="J24" i="31"/>
  <c r="L25" i="31"/>
  <c r="R36" i="31"/>
  <c r="F29" i="32"/>
  <c r="L33" i="32"/>
  <c r="L21" i="34"/>
  <c r="F27" i="34"/>
  <c r="R29" i="34"/>
  <c r="V21" i="37"/>
  <c r="R15" i="17"/>
  <c r="V21" i="17"/>
  <c r="L25" i="17"/>
  <c r="F33" i="17"/>
  <c r="L34" i="17"/>
  <c r="V36" i="17"/>
  <c r="J21" i="19"/>
  <c r="X15" i="20"/>
  <c r="H18" i="20"/>
  <c r="H27" i="20" s="1"/>
  <c r="F24" i="20"/>
  <c r="J29" i="20"/>
  <c r="R15" i="22"/>
  <c r="V21" i="22"/>
  <c r="V22" i="22"/>
  <c r="R33" i="22"/>
  <c r="X15" i="23"/>
  <c r="X16" i="25"/>
  <c r="R21" i="25"/>
  <c r="V29" i="25"/>
  <c r="X34" i="26"/>
  <c r="T18" i="28"/>
  <c r="T27" i="28" s="1"/>
  <c r="R21" i="28"/>
  <c r="V25" i="28"/>
  <c r="L33" i="28"/>
  <c r="X25" i="31"/>
  <c r="X12" i="32"/>
  <c r="F16" i="32"/>
  <c r="L20" i="32"/>
  <c r="J24" i="32"/>
  <c r="N33" i="32"/>
  <c r="X12" i="34"/>
  <c r="F15" i="34"/>
  <c r="J21" i="34"/>
  <c r="L34" i="34"/>
  <c r="F34" i="35"/>
  <c r="F36" i="35"/>
  <c r="F33" i="35"/>
  <c r="F16" i="35"/>
  <c r="F18" i="35"/>
  <c r="X20" i="35"/>
  <c r="R21" i="35"/>
  <c r="R22" i="35"/>
  <c r="X24" i="35"/>
  <c r="N15" i="40"/>
  <c r="L15" i="40"/>
  <c r="N22" i="40"/>
  <c r="L22" i="40"/>
  <c r="L13" i="46"/>
  <c r="L33" i="49"/>
  <c r="X33" i="16"/>
  <c r="F20" i="17"/>
  <c r="F25" i="17"/>
  <c r="X29" i="17"/>
  <c r="N34" i="17"/>
  <c r="L22" i="19"/>
  <c r="Z15" i="20"/>
  <c r="J18" i="20"/>
  <c r="F21" i="20"/>
  <c r="F22" i="20"/>
  <c r="J25" i="20"/>
  <c r="J36" i="20"/>
  <c r="X13" i="22"/>
  <c r="P18" i="22"/>
  <c r="P27" i="22" s="1"/>
  <c r="R36" i="22"/>
  <c r="X12" i="23"/>
  <c r="R15" i="23"/>
  <c r="V16" i="23"/>
  <c r="V20" i="23"/>
  <c r="X33" i="23"/>
  <c r="V15" i="25"/>
  <c r="Z16" i="25"/>
  <c r="V22" i="25"/>
  <c r="V25" i="25"/>
  <c r="L13" i="26"/>
  <c r="X21" i="26"/>
  <c r="R33" i="26"/>
  <c r="X13" i="28"/>
  <c r="V15" i="28"/>
  <c r="X20" i="28"/>
  <c r="V22" i="28"/>
  <c r="F33" i="28"/>
  <c r="R15" i="29"/>
  <c r="L33" i="29"/>
  <c r="R22" i="31"/>
  <c r="R25" i="31"/>
  <c r="J31" i="31"/>
  <c r="J34" i="31"/>
  <c r="J22" i="32"/>
  <c r="X24" i="32"/>
  <c r="X29" i="32"/>
  <c r="X33" i="32"/>
  <c r="H18" i="34"/>
  <c r="N18" i="34" s="1"/>
  <c r="D18" i="34"/>
  <c r="D27" i="34" s="1"/>
  <c r="D31" i="34" s="1"/>
  <c r="J22" i="34"/>
  <c r="R24" i="34"/>
  <c r="R25" i="34"/>
  <c r="F34" i="34"/>
  <c r="F36" i="34"/>
  <c r="R18" i="35"/>
  <c r="R20" i="35"/>
  <c r="R24" i="35"/>
  <c r="L15" i="37"/>
  <c r="X16" i="37"/>
  <c r="X12" i="38"/>
  <c r="R33" i="38"/>
  <c r="R15" i="38"/>
  <c r="R24" i="38"/>
  <c r="R29" i="38"/>
  <c r="X15" i="40"/>
  <c r="L34" i="40"/>
  <c r="L13" i="41"/>
  <c r="Z16" i="41"/>
  <c r="X12" i="99"/>
  <c r="R18" i="99"/>
  <c r="P18" i="99"/>
  <c r="P27" i="99" s="1"/>
  <c r="R15" i="99"/>
  <c r="R24" i="99"/>
  <c r="P18" i="29"/>
  <c r="P27" i="29" s="1"/>
  <c r="R25" i="29"/>
  <c r="R24" i="31"/>
  <c r="F18" i="34"/>
  <c r="F29" i="34"/>
  <c r="F20" i="41"/>
  <c r="F22" i="41"/>
  <c r="F34" i="41"/>
  <c r="F31" i="41"/>
  <c r="F16" i="41"/>
  <c r="F18" i="41"/>
  <c r="F27" i="41"/>
  <c r="X34" i="37"/>
  <c r="P18" i="38"/>
  <c r="P27" i="38" s="1"/>
  <c r="P31" i="38" s="1"/>
  <c r="L20" i="38"/>
  <c r="V22" i="38"/>
  <c r="L16" i="41"/>
  <c r="R20" i="41"/>
  <c r="V24" i="41"/>
  <c r="L34" i="41"/>
  <c r="X33" i="43"/>
  <c r="X16" i="44"/>
  <c r="F21" i="44"/>
  <c r="F24" i="44"/>
  <c r="L21" i="46"/>
  <c r="R34" i="46"/>
  <c r="R22" i="47"/>
  <c r="F27" i="47"/>
  <c r="F31" i="47"/>
  <c r="F34" i="47"/>
  <c r="J18" i="49"/>
  <c r="X15" i="50"/>
  <c r="R27" i="50"/>
  <c r="F18" i="53"/>
  <c r="J22" i="53"/>
  <c r="R24" i="53"/>
  <c r="L20" i="97"/>
  <c r="N12" i="98"/>
  <c r="X20" i="37"/>
  <c r="Z34" i="37"/>
  <c r="N12" i="38"/>
  <c r="L22" i="38"/>
  <c r="X24" i="38"/>
  <c r="J31" i="38"/>
  <c r="L20" i="40"/>
  <c r="X25" i="40"/>
  <c r="R18" i="41"/>
  <c r="X20" i="41"/>
  <c r="V22" i="41"/>
  <c r="L16" i="43"/>
  <c r="X20" i="43"/>
  <c r="X22" i="43"/>
  <c r="J27" i="43"/>
  <c r="J36" i="43"/>
  <c r="N12" i="46"/>
  <c r="X16" i="46"/>
  <c r="J22" i="46"/>
  <c r="J24" i="46"/>
  <c r="J25" i="46"/>
  <c r="X29" i="46"/>
  <c r="X33" i="46"/>
  <c r="V27" i="47"/>
  <c r="V31" i="47"/>
  <c r="P18" i="49"/>
  <c r="P27" i="49" s="1"/>
  <c r="X34" i="49"/>
  <c r="V16" i="50"/>
  <c r="V20" i="50"/>
  <c r="X21" i="50"/>
  <c r="X22" i="50"/>
  <c r="L29" i="50"/>
  <c r="J33" i="50"/>
  <c r="V16" i="52"/>
  <c r="V20" i="52"/>
  <c r="L25" i="52"/>
  <c r="J33" i="52"/>
  <c r="V18" i="53"/>
  <c r="X20" i="97"/>
  <c r="X33" i="97"/>
  <c r="F16" i="98"/>
  <c r="F18" i="98"/>
  <c r="R20" i="98"/>
  <c r="X24" i="99"/>
  <c r="J15" i="43"/>
  <c r="J31" i="43"/>
  <c r="V16" i="44"/>
  <c r="J29" i="52"/>
  <c r="F31" i="53"/>
  <c r="J18" i="98"/>
  <c r="X20" i="98"/>
  <c r="F31" i="98"/>
  <c r="F34" i="98"/>
  <c r="V22" i="99"/>
  <c r="X13" i="37"/>
  <c r="R15" i="37"/>
  <c r="L29" i="37"/>
  <c r="L33" i="37"/>
  <c r="X15" i="38"/>
  <c r="V16" i="38"/>
  <c r="J22" i="38"/>
  <c r="L13" i="40"/>
  <c r="X33" i="40"/>
  <c r="L20" i="41"/>
  <c r="Z20" i="41"/>
  <c r="L33" i="41"/>
  <c r="X16" i="43"/>
  <c r="J25" i="43"/>
  <c r="L34" i="43"/>
  <c r="Z12" i="44"/>
  <c r="V16" i="46"/>
  <c r="V29" i="46"/>
  <c r="V33" i="46"/>
  <c r="N12" i="47"/>
  <c r="L13" i="47"/>
  <c r="L15" i="49"/>
  <c r="L21" i="49"/>
  <c r="X24" i="49"/>
  <c r="R25" i="49"/>
  <c r="R29" i="49"/>
  <c r="R33" i="49"/>
  <c r="R36" i="49"/>
  <c r="H18" i="50"/>
  <c r="H27" i="50" s="1"/>
  <c r="H31" i="50" s="1"/>
  <c r="V21" i="50"/>
  <c r="J29" i="50"/>
  <c r="J36" i="50"/>
  <c r="X13" i="52"/>
  <c r="H18" i="52"/>
  <c r="H27" i="52" s="1"/>
  <c r="N27" i="52" s="1"/>
  <c r="J25" i="52"/>
  <c r="X33" i="52"/>
  <c r="J36" i="52"/>
  <c r="L16" i="53"/>
  <c r="X21" i="53"/>
  <c r="F27" i="53"/>
  <c r="V31" i="53"/>
  <c r="F34" i="53"/>
  <c r="V20" i="97"/>
  <c r="F27" i="98"/>
  <c r="J25" i="37"/>
  <c r="J34" i="37"/>
  <c r="J24" i="38"/>
  <c r="X33" i="38"/>
  <c r="P18" i="41"/>
  <c r="P27" i="41" s="1"/>
  <c r="P31" i="41" s="1"/>
  <c r="P36" i="41" s="1"/>
  <c r="F24" i="43"/>
  <c r="L25" i="43"/>
  <c r="J29" i="43"/>
  <c r="L16" i="44"/>
  <c r="F18" i="44"/>
  <c r="V20" i="44"/>
  <c r="V21" i="44"/>
  <c r="Z12" i="46"/>
  <c r="X22" i="46"/>
  <c r="R24" i="46"/>
  <c r="F18" i="47"/>
  <c r="V34" i="47"/>
  <c r="R16" i="49"/>
  <c r="Z12" i="50"/>
  <c r="L16" i="50"/>
  <c r="L20" i="50"/>
  <c r="J25" i="50"/>
  <c r="L16" i="52"/>
  <c r="L20" i="52"/>
  <c r="J24" i="52"/>
  <c r="V27" i="53"/>
  <c r="R16" i="97"/>
  <c r="F20" i="98"/>
  <c r="F24" i="98"/>
  <c r="F33" i="98"/>
  <c r="H18" i="37"/>
  <c r="N18" i="37" s="1"/>
  <c r="J29" i="37"/>
  <c r="J33" i="37"/>
  <c r="L16" i="38"/>
  <c r="X21" i="38"/>
  <c r="X22" i="38"/>
  <c r="V21" i="40"/>
  <c r="X22" i="40"/>
  <c r="R15" i="41"/>
  <c r="R16" i="41"/>
  <c r="V34" i="41"/>
  <c r="X13" i="43"/>
  <c r="X15" i="43"/>
  <c r="H18" i="43"/>
  <c r="H27" i="43" s="1"/>
  <c r="F21" i="43"/>
  <c r="J33" i="43"/>
  <c r="J34" i="43"/>
  <c r="F16" i="44"/>
  <c r="V18" i="44"/>
  <c r="L16" i="46"/>
  <c r="V20" i="46"/>
  <c r="L29" i="46"/>
  <c r="J31" i="46"/>
  <c r="R18" i="47"/>
  <c r="L21" i="47"/>
  <c r="J22" i="47"/>
  <c r="X15" i="49"/>
  <c r="X22" i="49"/>
  <c r="J27" i="49"/>
  <c r="J31" i="49"/>
  <c r="L34" i="49"/>
  <c r="L15" i="50"/>
  <c r="F16" i="50"/>
  <c r="F20" i="50"/>
  <c r="F21" i="50"/>
  <c r="J24" i="50"/>
  <c r="X25" i="50"/>
  <c r="F16" i="52"/>
  <c r="F20" i="52"/>
  <c r="F21" i="52"/>
  <c r="X25" i="52"/>
  <c r="X12" i="53"/>
  <c r="L24" i="53"/>
  <c r="L33" i="53"/>
  <c r="X34" i="53"/>
  <c r="X15" i="97"/>
  <c r="X25" i="97"/>
  <c r="J22" i="98"/>
  <c r="F25" i="98"/>
  <c r="F29" i="98"/>
  <c r="X34" i="98"/>
  <c r="X13" i="99"/>
  <c r="L22" i="99"/>
  <c r="J18" i="43"/>
  <c r="X25" i="43"/>
  <c r="X34" i="44"/>
  <c r="L33" i="46"/>
  <c r="L15" i="47"/>
  <c r="X13" i="49"/>
  <c r="L13" i="50"/>
  <c r="L13" i="52"/>
  <c r="L22" i="53"/>
  <c r="J21" i="98"/>
  <c r="J24" i="98"/>
  <c r="L16" i="99"/>
  <c r="H22" i="6"/>
  <c r="N16" i="6"/>
  <c r="N44" i="3"/>
  <c r="N71" i="3"/>
  <c r="Z166" i="3"/>
  <c r="N168" i="3"/>
  <c r="N255" i="3"/>
  <c r="P26" i="6"/>
  <c r="Z80" i="3"/>
  <c r="N82" i="3"/>
  <c r="Z83" i="3"/>
  <c r="Z86" i="3"/>
  <c r="N91" i="3"/>
  <c r="Z144" i="3"/>
  <c r="N28" i="6"/>
  <c r="Z30" i="9"/>
  <c r="Z41" i="9"/>
  <c r="Z39" i="3"/>
  <c r="Z24" i="3"/>
  <c r="N20" i="3"/>
  <c r="Z47" i="3"/>
  <c r="Z56" i="3"/>
  <c r="N58" i="3"/>
  <c r="Z59" i="3"/>
  <c r="Z62" i="3"/>
  <c r="N67" i="3"/>
  <c r="Z71" i="3"/>
  <c r="N76" i="3"/>
  <c r="N79" i="3"/>
  <c r="X238" i="3"/>
  <c r="Z32" i="3"/>
  <c r="Z88" i="3"/>
  <c r="Z91" i="3"/>
  <c r="Z94" i="3"/>
  <c r="Z178" i="3"/>
  <c r="N180" i="3"/>
  <c r="N254" i="3"/>
  <c r="Z15" i="3"/>
  <c r="Z35" i="3"/>
  <c r="N43" i="3"/>
  <c r="N55" i="3"/>
  <c r="N90" i="3"/>
  <c r="F254" i="3"/>
  <c r="F242" i="3"/>
  <c r="F225" i="3"/>
  <c r="F217" i="3"/>
  <c r="F209" i="3"/>
  <c r="F205" i="3"/>
  <c r="F201" i="3"/>
  <c r="F197" i="3"/>
  <c r="F180" i="3"/>
  <c r="F177" i="3"/>
  <c r="F168" i="3"/>
  <c r="F165" i="3"/>
  <c r="F161" i="3"/>
  <c r="F156" i="3"/>
  <c r="F149" i="3"/>
  <c r="F133" i="3"/>
  <c r="F125" i="3"/>
  <c r="F117" i="3"/>
  <c r="F109" i="3"/>
  <c r="F101" i="3"/>
  <c r="F96" i="3"/>
  <c r="L12" i="3"/>
  <c r="F210" i="3"/>
  <c r="F145" i="3"/>
  <c r="F134" i="3"/>
  <c r="F245" i="3"/>
  <c r="F235" i="3"/>
  <c r="F231" i="3"/>
  <c r="F228" i="3"/>
  <c r="F224" i="3"/>
  <c r="F208" i="3"/>
  <c r="F204" i="3"/>
  <c r="F200" i="3"/>
  <c r="F191" i="3"/>
  <c r="F188" i="3"/>
  <c r="F160" i="3"/>
  <c r="F148" i="3"/>
  <c r="D142" i="3"/>
  <c r="F142" i="3" s="1"/>
  <c r="F140" i="3"/>
  <c r="F132" i="3"/>
  <c r="F124" i="3"/>
  <c r="F116" i="3"/>
  <c r="F108" i="3"/>
  <c r="F100" i="3"/>
  <c r="F102" i="3"/>
  <c r="F240" i="3"/>
  <c r="F227" i="3"/>
  <c r="F223" i="3"/>
  <c r="F199" i="3"/>
  <c r="F194" i="3"/>
  <c r="F182" i="3"/>
  <c r="F179" i="3"/>
  <c r="F170" i="3"/>
  <c r="F167" i="3"/>
  <c r="F159" i="3"/>
  <c r="F155" i="3"/>
  <c r="F147" i="3"/>
  <c r="F139" i="3"/>
  <c r="F131" i="3"/>
  <c r="F123" i="3"/>
  <c r="F115" i="3"/>
  <c r="F107" i="3"/>
  <c r="F99" i="3"/>
  <c r="F206" i="3"/>
  <c r="F243" i="3"/>
  <c r="F234" i="3"/>
  <c r="F230" i="3"/>
  <c r="F222" i="3"/>
  <c r="F213" i="3"/>
  <c r="F190" i="3"/>
  <c r="F185" i="3"/>
  <c r="F173" i="3"/>
  <c r="F158" i="3"/>
  <c r="F154" i="3"/>
  <c r="F146" i="3"/>
  <c r="F138" i="3"/>
  <c r="F130" i="3"/>
  <c r="F122" i="3"/>
  <c r="F114" i="3"/>
  <c r="F106" i="3"/>
  <c r="F98" i="3"/>
  <c r="F239" i="3"/>
  <c r="F189" i="3"/>
  <c r="F162" i="3"/>
  <c r="F150" i="3"/>
  <c r="F126" i="3"/>
  <c r="F110" i="3"/>
  <c r="F255" i="3"/>
  <c r="F246" i="3"/>
  <c r="F238" i="3"/>
  <c r="F233" i="3"/>
  <c r="F221" i="3"/>
  <c r="F216" i="3"/>
  <c r="F196" i="3"/>
  <c r="F193" i="3"/>
  <c r="F181" i="3"/>
  <c r="F176" i="3"/>
  <c r="F169" i="3"/>
  <c r="F164" i="3"/>
  <c r="F157" i="3"/>
  <c r="F153" i="3"/>
  <c r="F144" i="3"/>
  <c r="F137" i="3"/>
  <c r="F129" i="3"/>
  <c r="F121" i="3"/>
  <c r="F113" i="3"/>
  <c r="F105" i="3"/>
  <c r="F97" i="3"/>
  <c r="F202" i="3"/>
  <c r="F250" i="3"/>
  <c r="F241" i="3"/>
  <c r="F236" i="3"/>
  <c r="F232" i="3"/>
  <c r="F220" i="3"/>
  <c r="F212" i="3"/>
  <c r="F207" i="3"/>
  <c r="F203" i="3"/>
  <c r="F192" i="3"/>
  <c r="F187" i="3"/>
  <c r="F184" i="3"/>
  <c r="F172" i="3"/>
  <c r="F152" i="3"/>
  <c r="F136" i="3"/>
  <c r="F128" i="3"/>
  <c r="F120" i="3"/>
  <c r="F112" i="3"/>
  <c r="F104" i="3"/>
  <c r="F218" i="3"/>
  <c r="F214" i="3"/>
  <c r="F174" i="3"/>
  <c r="F118" i="3"/>
  <c r="F244" i="3"/>
  <c r="F226" i="3"/>
  <c r="F219" i="3"/>
  <c r="F215" i="3"/>
  <c r="F211" i="3"/>
  <c r="F198" i="3"/>
  <c r="F195" i="3"/>
  <c r="F183" i="3"/>
  <c r="F178" i="3"/>
  <c r="F175" i="3"/>
  <c r="F171" i="3"/>
  <c r="F166" i="3"/>
  <c r="F163" i="3"/>
  <c r="F151" i="3"/>
  <c r="F135" i="3"/>
  <c r="F127" i="3"/>
  <c r="F119" i="3"/>
  <c r="F111" i="3"/>
  <c r="F103" i="3"/>
  <c r="F229" i="3"/>
  <c r="F186" i="3"/>
  <c r="Z23" i="3"/>
  <c r="N28" i="3"/>
  <c r="N31" i="3"/>
  <c r="Z64" i="3"/>
  <c r="N66" i="3"/>
  <c r="Z67" i="3"/>
  <c r="Z79" i="3"/>
  <c r="N84" i="3"/>
  <c r="N164" i="3"/>
  <c r="N231" i="3"/>
  <c r="N235" i="3"/>
  <c r="Z54" i="3"/>
  <c r="Z21" i="3"/>
  <c r="Z27" i="3"/>
  <c r="N23" i="3"/>
  <c r="N34" i="3"/>
  <c r="Z38" i="3"/>
  <c r="Z14" i="3"/>
  <c r="N19" i="3"/>
  <c r="Z37" i="3"/>
  <c r="Z40" i="3"/>
  <c r="N42" i="3"/>
  <c r="Z43" i="3"/>
  <c r="Z46" i="3"/>
  <c r="Z55" i="3"/>
  <c r="N60" i="3"/>
  <c r="N63" i="3"/>
  <c r="N191" i="3"/>
  <c r="Z229" i="3"/>
  <c r="Z244" i="3"/>
  <c r="N246" i="3"/>
  <c r="N41" i="9"/>
  <c r="J240" i="3"/>
  <c r="J228" i="3"/>
  <c r="J224" i="3"/>
  <c r="J208" i="3"/>
  <c r="J204" i="3"/>
  <c r="J200" i="3"/>
  <c r="J194" i="3"/>
  <c r="J188" i="3"/>
  <c r="J182" i="3"/>
  <c r="J170" i="3"/>
  <c r="J160" i="3"/>
  <c r="J148" i="3"/>
  <c r="J140" i="3"/>
  <c r="J132" i="3"/>
  <c r="J124" i="3"/>
  <c r="J116" i="3"/>
  <c r="J108" i="3"/>
  <c r="J100" i="3"/>
  <c r="N12" i="3"/>
  <c r="J117" i="3"/>
  <c r="J101" i="3"/>
  <c r="J243" i="3"/>
  <c r="J227" i="3"/>
  <c r="J223" i="3"/>
  <c r="J213" i="3"/>
  <c r="J199" i="3"/>
  <c r="J185" i="3"/>
  <c r="J179" i="3"/>
  <c r="J173" i="3"/>
  <c r="J167" i="3"/>
  <c r="J159" i="3"/>
  <c r="J155" i="3"/>
  <c r="J147" i="3"/>
  <c r="J139" i="3"/>
  <c r="J131" i="3"/>
  <c r="J123" i="3"/>
  <c r="J115" i="3"/>
  <c r="J107" i="3"/>
  <c r="J99" i="3"/>
  <c r="J205" i="3"/>
  <c r="J133" i="3"/>
  <c r="J255" i="3"/>
  <c r="J246" i="3"/>
  <c r="J238" i="3"/>
  <c r="J234" i="3"/>
  <c r="J230" i="3"/>
  <c r="J222" i="3"/>
  <c r="J216" i="3"/>
  <c r="J196" i="3"/>
  <c r="J190" i="3"/>
  <c r="J176" i="3"/>
  <c r="J164" i="3"/>
  <c r="J158" i="3"/>
  <c r="J154" i="3"/>
  <c r="J146" i="3"/>
  <c r="J144" i="3"/>
  <c r="J138" i="3"/>
  <c r="J130" i="3"/>
  <c r="J122" i="3"/>
  <c r="J114" i="3"/>
  <c r="J106" i="3"/>
  <c r="J98" i="3"/>
  <c r="J217" i="3"/>
  <c r="J209" i="3"/>
  <c r="J125" i="3"/>
  <c r="J241" i="3"/>
  <c r="J233" i="3"/>
  <c r="J221" i="3"/>
  <c r="J207" i="3"/>
  <c r="J203" i="3"/>
  <c r="J193" i="3"/>
  <c r="J187" i="3"/>
  <c r="J181" i="3"/>
  <c r="J169" i="3"/>
  <c r="J157" i="3"/>
  <c r="J153" i="3"/>
  <c r="J137" i="3"/>
  <c r="J129" i="3"/>
  <c r="J121" i="3"/>
  <c r="J113" i="3"/>
  <c r="J105" i="3"/>
  <c r="J97" i="3"/>
  <c r="J177" i="3"/>
  <c r="H142" i="3"/>
  <c r="J250" i="3"/>
  <c r="J244" i="3"/>
  <c r="J236" i="3"/>
  <c r="J232" i="3"/>
  <c r="J226" i="3"/>
  <c r="J220" i="3"/>
  <c r="J212" i="3"/>
  <c r="J198" i="3"/>
  <c r="J192" i="3"/>
  <c r="J184" i="3"/>
  <c r="J178" i="3"/>
  <c r="J172" i="3"/>
  <c r="J166" i="3"/>
  <c r="J152" i="3"/>
  <c r="J136" i="3"/>
  <c r="J128" i="3"/>
  <c r="J120" i="3"/>
  <c r="J112" i="3"/>
  <c r="J104" i="3"/>
  <c r="J165" i="3"/>
  <c r="J161" i="3"/>
  <c r="J109" i="3"/>
  <c r="J239" i="3"/>
  <c r="J229" i="3"/>
  <c r="J219" i="3"/>
  <c r="J215" i="3"/>
  <c r="J211" i="3"/>
  <c r="J195" i="3"/>
  <c r="J189" i="3"/>
  <c r="J183" i="3"/>
  <c r="J175" i="3"/>
  <c r="J171" i="3"/>
  <c r="J163" i="3"/>
  <c r="J151" i="3"/>
  <c r="J145" i="3"/>
  <c r="J135" i="3"/>
  <c r="J127" i="3"/>
  <c r="J119" i="3"/>
  <c r="J111" i="3"/>
  <c r="J103" i="3"/>
  <c r="J235" i="3"/>
  <c r="J231" i="3"/>
  <c r="J201" i="3"/>
  <c r="J197" i="3"/>
  <c r="J191" i="3"/>
  <c r="J254" i="3"/>
  <c r="J242" i="3"/>
  <c r="J218" i="3"/>
  <c r="J214" i="3"/>
  <c r="J210" i="3"/>
  <c r="J206" i="3"/>
  <c r="J202" i="3"/>
  <c r="J186" i="3"/>
  <c r="J180" i="3"/>
  <c r="J174" i="3"/>
  <c r="J168" i="3"/>
  <c r="J162" i="3"/>
  <c r="J156" i="3"/>
  <c r="J150" i="3"/>
  <c r="J142" i="3"/>
  <c r="J134" i="3"/>
  <c r="J126" i="3"/>
  <c r="J118" i="3"/>
  <c r="J110" i="3"/>
  <c r="J102" i="3"/>
  <c r="J96" i="3"/>
  <c r="J245" i="3"/>
  <c r="J225" i="3"/>
  <c r="J149" i="3"/>
  <c r="Z30" i="3"/>
  <c r="N238" i="3"/>
  <c r="R158" i="3"/>
  <c r="R241" i="3"/>
  <c r="V24" i="7"/>
  <c r="T91" i="9"/>
  <c r="T12" i="3"/>
  <c r="R99" i="3"/>
  <c r="R107" i="3"/>
  <c r="R115" i="3"/>
  <c r="R123" i="3"/>
  <c r="R131" i="3"/>
  <c r="R139" i="3"/>
  <c r="R144" i="3"/>
  <c r="R147" i="3"/>
  <c r="R155" i="3"/>
  <c r="R159" i="3"/>
  <c r="R164" i="3"/>
  <c r="R167" i="3"/>
  <c r="R176" i="3"/>
  <c r="R179" i="3"/>
  <c r="R196" i="3"/>
  <c r="R199" i="3"/>
  <c r="R216" i="3"/>
  <c r="R223" i="3"/>
  <c r="R227" i="3"/>
  <c r="R238" i="3"/>
  <c r="R246" i="3"/>
  <c r="R255" i="3"/>
  <c r="R16" i="4"/>
  <c r="J18" i="4"/>
  <c r="R20" i="4"/>
  <c r="F24" i="4"/>
  <c r="V24" i="4"/>
  <c r="J15" i="5"/>
  <c r="H18" i="5"/>
  <c r="F21" i="5"/>
  <c r="V21" i="5"/>
  <c r="J25" i="5"/>
  <c r="R27" i="5"/>
  <c r="J29" i="5"/>
  <c r="R31" i="5"/>
  <c r="J33" i="5"/>
  <c r="R34" i="5"/>
  <c r="J36" i="5"/>
  <c r="D16" i="6"/>
  <c r="T16" i="6"/>
  <c r="F24" i="6"/>
  <c r="X12" i="7"/>
  <c r="J21" i="7"/>
  <c r="F27" i="7"/>
  <c r="V27" i="7"/>
  <c r="F31" i="7"/>
  <c r="V31" i="7"/>
  <c r="F34" i="7"/>
  <c r="V34" i="7"/>
  <c r="R16" i="8"/>
  <c r="J18" i="8"/>
  <c r="R20" i="8"/>
  <c r="F24" i="8"/>
  <c r="V24" i="8"/>
  <c r="V77" i="9"/>
  <c r="V69" i="9"/>
  <c r="V91" i="9"/>
  <c r="V86" i="9"/>
  <c r="V84" i="9"/>
  <c r="V80" i="9"/>
  <c r="V68" i="9"/>
  <c r="V52" i="9"/>
  <c r="V79" i="9"/>
  <c r="V63" i="9"/>
  <c r="V59" i="9"/>
  <c r="V55" i="9"/>
  <c r="V62" i="9"/>
  <c r="V58" i="9"/>
  <c r="V54" i="9"/>
  <c r="V46" i="9"/>
  <c r="V73" i="9"/>
  <c r="V88" i="9"/>
  <c r="V82" i="9"/>
  <c r="V76" i="9"/>
  <c r="V72" i="9"/>
  <c r="V64" i="9"/>
  <c r="V60" i="9"/>
  <c r="V56" i="9"/>
  <c r="V75" i="9"/>
  <c r="V71" i="9"/>
  <c r="V67" i="9"/>
  <c r="V51" i="9"/>
  <c r="V47" i="9"/>
  <c r="F16" i="9"/>
  <c r="V16" i="9"/>
  <c r="J22" i="9"/>
  <c r="F23" i="9"/>
  <c r="V26" i="9"/>
  <c r="R27" i="9"/>
  <c r="F30" i="9"/>
  <c r="V30" i="9"/>
  <c r="R31" i="9"/>
  <c r="J34" i="9"/>
  <c r="F35" i="9"/>
  <c r="J38" i="9"/>
  <c r="X41" i="9"/>
  <c r="V42" i="9"/>
  <c r="L43" i="9"/>
  <c r="N43" i="9" s="1"/>
  <c r="R45" i="9"/>
  <c r="R47" i="9"/>
  <c r="V50" i="9"/>
  <c r="R56" i="9"/>
  <c r="F59" i="9"/>
  <c r="F63" i="9"/>
  <c r="V66" i="9"/>
  <c r="V70" i="9"/>
  <c r="Z74" i="9"/>
  <c r="R88" i="9"/>
  <c r="H12" i="12"/>
  <c r="Z54" i="12"/>
  <c r="Z70" i="12"/>
  <c r="N74" i="12"/>
  <c r="Z75" i="12"/>
  <c r="X162" i="12"/>
  <c r="Z162" i="12" s="1"/>
  <c r="F170" i="12"/>
  <c r="N184" i="12"/>
  <c r="L184" i="12"/>
  <c r="N34" i="13"/>
  <c r="L34" i="13"/>
  <c r="N29" i="15"/>
  <c r="N36" i="15"/>
  <c r="Z37" i="15"/>
  <c r="Z56" i="15"/>
  <c r="N69" i="15"/>
  <c r="N76" i="15"/>
  <c r="L126" i="15"/>
  <c r="N126" i="15" s="1"/>
  <c r="Z136" i="15"/>
  <c r="R114" i="3"/>
  <c r="R222" i="3"/>
  <c r="R26" i="9"/>
  <c r="N15" i="3"/>
  <c r="L96" i="3"/>
  <c r="N96" i="3" s="1"/>
  <c r="R100" i="3"/>
  <c r="R108" i="3"/>
  <c r="R116" i="3"/>
  <c r="R124" i="3"/>
  <c r="R132" i="3"/>
  <c r="R140" i="3"/>
  <c r="R148" i="3"/>
  <c r="R160" i="3"/>
  <c r="R173" i="3"/>
  <c r="R185" i="3"/>
  <c r="R188" i="3"/>
  <c r="R200" i="3"/>
  <c r="R204" i="3"/>
  <c r="R208" i="3"/>
  <c r="R213" i="3"/>
  <c r="R224" i="3"/>
  <c r="R228" i="3"/>
  <c r="T238" i="3"/>
  <c r="R243" i="3"/>
  <c r="X12" i="4"/>
  <c r="J21" i="4"/>
  <c r="F27" i="4"/>
  <c r="V27" i="4"/>
  <c r="F31" i="4"/>
  <c r="V31" i="4"/>
  <c r="F34" i="4"/>
  <c r="V34" i="4"/>
  <c r="R16" i="5"/>
  <c r="J18" i="5"/>
  <c r="R20" i="5"/>
  <c r="F24" i="5"/>
  <c r="V24" i="5"/>
  <c r="F16" i="6"/>
  <c r="V16" i="6"/>
  <c r="F20" i="6"/>
  <c r="V20" i="6"/>
  <c r="J24" i="6"/>
  <c r="F26" i="6"/>
  <c r="V26" i="6"/>
  <c r="F29" i="6"/>
  <c r="Z12" i="7"/>
  <c r="F16" i="7"/>
  <c r="V16" i="7"/>
  <c r="F20" i="7"/>
  <c r="V20" i="7"/>
  <c r="R22" i="7"/>
  <c r="J24" i="7"/>
  <c r="X12" i="8"/>
  <c r="J21" i="8"/>
  <c r="F27" i="8"/>
  <c r="V27" i="8"/>
  <c r="F31" i="8"/>
  <c r="V31" i="8"/>
  <c r="F34" i="8"/>
  <c r="V34" i="8"/>
  <c r="X12" i="9"/>
  <c r="H16" i="9"/>
  <c r="F19" i="9"/>
  <c r="V19" i="9"/>
  <c r="R20" i="9"/>
  <c r="J23" i="9"/>
  <c r="F24" i="9"/>
  <c r="V27" i="9"/>
  <c r="R28" i="9"/>
  <c r="V31" i="9"/>
  <c r="R32" i="9"/>
  <c r="J35" i="9"/>
  <c r="F36" i="9"/>
  <c r="R37" i="9"/>
  <c r="F39" i="9"/>
  <c r="V39" i="9"/>
  <c r="R40" i="9"/>
  <c r="J41" i="9"/>
  <c r="F44" i="9"/>
  <c r="R46" i="9"/>
  <c r="V49" i="9"/>
  <c r="Z56" i="9"/>
  <c r="J58" i="9"/>
  <c r="R60" i="9"/>
  <c r="R64" i="9"/>
  <c r="N68" i="9"/>
  <c r="V74" i="9"/>
  <c r="J91" i="9"/>
  <c r="V21" i="10"/>
  <c r="V18" i="10"/>
  <c r="V36" i="10"/>
  <c r="V33" i="10"/>
  <c r="V29" i="10"/>
  <c r="V25" i="10"/>
  <c r="T18" i="10"/>
  <c r="V15" i="10"/>
  <c r="V22" i="10"/>
  <c r="V20" i="10"/>
  <c r="V16" i="10"/>
  <c r="Z12" i="10"/>
  <c r="V34" i="10"/>
  <c r="V31" i="10"/>
  <c r="V27" i="10"/>
  <c r="V24" i="10"/>
  <c r="R24" i="11"/>
  <c r="R21" i="11"/>
  <c r="R18" i="11"/>
  <c r="R36" i="11"/>
  <c r="R33" i="11"/>
  <c r="R29" i="11"/>
  <c r="R25" i="11"/>
  <c r="P18" i="11"/>
  <c r="R15" i="11"/>
  <c r="R22" i="11"/>
  <c r="X12" i="11"/>
  <c r="R20" i="11"/>
  <c r="R16" i="11"/>
  <c r="X19" i="12"/>
  <c r="L23" i="12"/>
  <c r="X35" i="12"/>
  <c r="L39" i="12"/>
  <c r="N39" i="12" s="1"/>
  <c r="N62" i="12"/>
  <c r="F138" i="12"/>
  <c r="F141" i="12"/>
  <c r="Z148" i="12"/>
  <c r="Z164" i="12"/>
  <c r="Z204" i="12"/>
  <c r="X13" i="14"/>
  <c r="Z15" i="15"/>
  <c r="X29" i="15"/>
  <c r="N32" i="15"/>
  <c r="Z33" i="15"/>
  <c r="Z48" i="15"/>
  <c r="N65" i="15"/>
  <c r="X69" i="15"/>
  <c r="N72" i="15"/>
  <c r="Z73" i="15"/>
  <c r="Z114" i="15"/>
  <c r="Z115" i="15"/>
  <c r="R207" i="3"/>
  <c r="R230" i="3"/>
  <c r="R234" i="3"/>
  <c r="R27" i="8"/>
  <c r="R19" i="9"/>
  <c r="R39" i="9"/>
  <c r="R42" i="9"/>
  <c r="L60" i="9"/>
  <c r="N60" i="9" s="1"/>
  <c r="F215" i="12"/>
  <c r="F204" i="12"/>
  <c r="F200" i="12"/>
  <c r="F197" i="12"/>
  <c r="F193" i="12"/>
  <c r="F184" i="12"/>
  <c r="F164" i="12"/>
  <c r="F161" i="12"/>
  <c r="F149" i="12"/>
  <c r="F137" i="12"/>
  <c r="F125" i="12"/>
  <c r="F120" i="12"/>
  <c r="F109" i="12"/>
  <c r="F101" i="12"/>
  <c r="F93" i="12"/>
  <c r="F85" i="12"/>
  <c r="F209" i="12"/>
  <c r="F196" i="12"/>
  <c r="F192" i="12"/>
  <c r="F187" i="12"/>
  <c r="F167" i="12"/>
  <c r="F155" i="12"/>
  <c r="F152" i="12"/>
  <c r="F143" i="12"/>
  <c r="F140" i="12"/>
  <c r="F136" i="12"/>
  <c r="F131" i="12"/>
  <c r="F124" i="12"/>
  <c r="F108" i="12"/>
  <c r="F100" i="12"/>
  <c r="F92" i="12"/>
  <c r="F84" i="12"/>
  <c r="F79" i="12"/>
  <c r="L12" i="12"/>
  <c r="F203" i="12"/>
  <c r="F199" i="12"/>
  <c r="F191" i="12"/>
  <c r="F183" i="12"/>
  <c r="F178" i="12"/>
  <c r="F174" i="12"/>
  <c r="F163" i="12"/>
  <c r="F158" i="12"/>
  <c r="F135" i="12"/>
  <c r="F123" i="12"/>
  <c r="D117" i="12"/>
  <c r="F115" i="12"/>
  <c r="F107" i="12"/>
  <c r="F99" i="12"/>
  <c r="F91" i="12"/>
  <c r="F83" i="12"/>
  <c r="F202" i="12"/>
  <c r="F190" i="12"/>
  <c r="F186" i="12"/>
  <c r="F182" i="12"/>
  <c r="F169" i="12"/>
  <c r="F166" i="12"/>
  <c r="F154" i="12"/>
  <c r="F145" i="12"/>
  <c r="F142" i="12"/>
  <c r="F134" i="12"/>
  <c r="F130" i="12"/>
  <c r="F122" i="12"/>
  <c r="F114" i="12"/>
  <c r="F106" i="12"/>
  <c r="F98" i="12"/>
  <c r="F90" i="12"/>
  <c r="F82" i="12"/>
  <c r="F210" i="12"/>
  <c r="F205" i="12"/>
  <c r="F201" i="12"/>
  <c r="F189" i="12"/>
  <c r="F185" i="12"/>
  <c r="F181" i="12"/>
  <c r="F177" i="12"/>
  <c r="F173" i="12"/>
  <c r="F165" i="12"/>
  <c r="F160" i="12"/>
  <c r="F157" i="12"/>
  <c r="F148" i="12"/>
  <c r="F133" i="12"/>
  <c r="F129" i="12"/>
  <c r="F121" i="12"/>
  <c r="F113" i="12"/>
  <c r="F105" i="12"/>
  <c r="F97" i="12"/>
  <c r="F89" i="12"/>
  <c r="F81" i="12"/>
  <c r="F195" i="12"/>
  <c r="F188" i="12"/>
  <c r="F180" i="12"/>
  <c r="F176" i="12"/>
  <c r="F172" i="12"/>
  <c r="F168" i="12"/>
  <c r="F156" i="12"/>
  <c r="F151" i="12"/>
  <c r="F144" i="12"/>
  <c r="F139" i="12"/>
  <c r="F132" i="12"/>
  <c r="F128" i="12"/>
  <c r="F119" i="12"/>
  <c r="F112" i="12"/>
  <c r="F104" i="12"/>
  <c r="F96" i="12"/>
  <c r="F88" i="12"/>
  <c r="F80" i="12"/>
  <c r="F208" i="12"/>
  <c r="F198" i="12"/>
  <c r="F179" i="12"/>
  <c r="F175" i="12"/>
  <c r="F171" i="12"/>
  <c r="F162" i="12"/>
  <c r="F159" i="12"/>
  <c r="F147" i="12"/>
  <c r="F127" i="12"/>
  <c r="F111" i="12"/>
  <c r="F103" i="12"/>
  <c r="F95" i="12"/>
  <c r="F87" i="12"/>
  <c r="F126" i="12"/>
  <c r="X12" i="3"/>
  <c r="L16" i="3"/>
  <c r="N16" i="3" s="1"/>
  <c r="X13" i="3"/>
  <c r="Z13" i="3" s="1"/>
  <c r="L17" i="3"/>
  <c r="N17" i="3" s="1"/>
  <c r="X21" i="3"/>
  <c r="L25" i="3"/>
  <c r="N25" i="3" s="1"/>
  <c r="X29" i="3"/>
  <c r="Z29" i="3" s="1"/>
  <c r="L33" i="3"/>
  <c r="N33" i="3" s="1"/>
  <c r="X37" i="3"/>
  <c r="L41" i="3"/>
  <c r="N41" i="3" s="1"/>
  <c r="X45" i="3"/>
  <c r="Z45" i="3" s="1"/>
  <c r="L49" i="3"/>
  <c r="N49" i="3" s="1"/>
  <c r="X53" i="3"/>
  <c r="Z53" i="3" s="1"/>
  <c r="L57" i="3"/>
  <c r="X61" i="3"/>
  <c r="Z61" i="3" s="1"/>
  <c r="L65" i="3"/>
  <c r="N65" i="3" s="1"/>
  <c r="X69" i="3"/>
  <c r="L73" i="3"/>
  <c r="N73" i="3" s="1"/>
  <c r="X77" i="3"/>
  <c r="Z77" i="3" s="1"/>
  <c r="L81" i="3"/>
  <c r="N81" i="3" s="1"/>
  <c r="X85" i="3"/>
  <c r="Z85" i="3" s="1"/>
  <c r="L89" i="3"/>
  <c r="N89" i="3" s="1"/>
  <c r="X93" i="3"/>
  <c r="Z93" i="3" s="1"/>
  <c r="R101" i="3"/>
  <c r="R109" i="3"/>
  <c r="R117" i="3"/>
  <c r="R125" i="3"/>
  <c r="R133" i="3"/>
  <c r="R149" i="3"/>
  <c r="R161" i="3"/>
  <c r="R165" i="3"/>
  <c r="R170" i="3"/>
  <c r="R177" i="3"/>
  <c r="R182" i="3"/>
  <c r="R194" i="3"/>
  <c r="R197" i="3"/>
  <c r="R201" i="3"/>
  <c r="R205" i="3"/>
  <c r="R209" i="3"/>
  <c r="R217" i="3"/>
  <c r="R225" i="3"/>
  <c r="R240" i="3"/>
  <c r="N242" i="3"/>
  <c r="Z12" i="4"/>
  <c r="F16" i="4"/>
  <c r="V16" i="4"/>
  <c r="F20" i="4"/>
  <c r="V20" i="4"/>
  <c r="R22" i="4"/>
  <c r="J24" i="4"/>
  <c r="X12" i="5"/>
  <c r="J21" i="5"/>
  <c r="F27" i="5"/>
  <c r="V27" i="5"/>
  <c r="F31" i="5"/>
  <c r="V31" i="5"/>
  <c r="F34" i="5"/>
  <c r="V34" i="5"/>
  <c r="R15" i="7"/>
  <c r="P18" i="7"/>
  <c r="R25" i="7"/>
  <c r="J27" i="7"/>
  <c r="R29" i="7"/>
  <c r="J31" i="7"/>
  <c r="R33" i="7"/>
  <c r="J34" i="7"/>
  <c r="R36" i="7"/>
  <c r="Z12" i="8"/>
  <c r="F16" i="8"/>
  <c r="V16" i="8"/>
  <c r="F20" i="8"/>
  <c r="V20" i="8"/>
  <c r="R22" i="8"/>
  <c r="J24" i="8"/>
  <c r="Z12" i="9"/>
  <c r="R14" i="9"/>
  <c r="J16" i="9"/>
  <c r="Z16" i="9"/>
  <c r="R18" i="9"/>
  <c r="V20" i="9"/>
  <c r="R21" i="9"/>
  <c r="J24" i="9"/>
  <c r="F25" i="9"/>
  <c r="V28" i="9"/>
  <c r="R29" i="9"/>
  <c r="J30" i="9"/>
  <c r="V32" i="9"/>
  <c r="R33" i="9"/>
  <c r="J36" i="9"/>
  <c r="V40" i="9"/>
  <c r="J44" i="9"/>
  <c r="F45" i="9"/>
  <c r="V45" i="9"/>
  <c r="L52" i="9"/>
  <c r="J53" i="9"/>
  <c r="J62" i="9"/>
  <c r="J68" i="9"/>
  <c r="J84" i="9"/>
  <c r="Z19" i="12"/>
  <c r="N23" i="12"/>
  <c r="Z35" i="12"/>
  <c r="X51" i="12"/>
  <c r="Z51" i="12" s="1"/>
  <c r="L55" i="12"/>
  <c r="N55" i="12" s="1"/>
  <c r="X67" i="12"/>
  <c r="Z67" i="12" s="1"/>
  <c r="L71" i="12"/>
  <c r="Z74" i="12"/>
  <c r="L120" i="12"/>
  <c r="N120" i="12" s="1"/>
  <c r="N178" i="12"/>
  <c r="Z184" i="12"/>
  <c r="N200" i="12"/>
  <c r="L200" i="12"/>
  <c r="N17" i="15"/>
  <c r="N21" i="15"/>
  <c r="Z29" i="15"/>
  <c r="Z36" i="15"/>
  <c r="Z40" i="15"/>
  <c r="L57" i="15"/>
  <c r="N57" i="15" s="1"/>
  <c r="Z69" i="15"/>
  <c r="Z76" i="15"/>
  <c r="X76" i="15"/>
  <c r="Z126" i="15"/>
  <c r="R122" i="3"/>
  <c r="R154" i="3"/>
  <c r="R27" i="4"/>
  <c r="R34" i="4"/>
  <c r="R31" i="8"/>
  <c r="D88" i="9"/>
  <c r="N21" i="10"/>
  <c r="L21" i="10"/>
  <c r="N73" i="15"/>
  <c r="R102" i="3"/>
  <c r="R110" i="3"/>
  <c r="R118" i="3"/>
  <c r="R126" i="3"/>
  <c r="R134" i="3"/>
  <c r="P142" i="3"/>
  <c r="R150" i="3"/>
  <c r="R162" i="3"/>
  <c r="R174" i="3"/>
  <c r="R186" i="3"/>
  <c r="R191" i="3"/>
  <c r="R202" i="3"/>
  <c r="R206" i="3"/>
  <c r="R210" i="3"/>
  <c r="R214" i="3"/>
  <c r="R218" i="3"/>
  <c r="R231" i="3"/>
  <c r="R235" i="3"/>
  <c r="R245" i="3"/>
  <c r="R15" i="4"/>
  <c r="P18" i="4"/>
  <c r="R25" i="4"/>
  <c r="J27" i="4"/>
  <c r="R29" i="4"/>
  <c r="J31" i="4"/>
  <c r="R33" i="4"/>
  <c r="J34" i="4"/>
  <c r="R36" i="4"/>
  <c r="J16" i="7"/>
  <c r="J20" i="7"/>
  <c r="V22" i="7"/>
  <c r="R15" i="8"/>
  <c r="P18" i="8"/>
  <c r="R25" i="8"/>
  <c r="J27" i="8"/>
  <c r="R29" i="8"/>
  <c r="J31" i="8"/>
  <c r="R33" i="8"/>
  <c r="J34" i="8"/>
  <c r="R36" i="8"/>
  <c r="F77" i="9"/>
  <c r="F62" i="9"/>
  <c r="F58" i="9"/>
  <c r="F91" i="9"/>
  <c r="F84" i="9"/>
  <c r="F73" i="9"/>
  <c r="F68" i="9"/>
  <c r="F65" i="9"/>
  <c r="F61" i="9"/>
  <c r="F57" i="9"/>
  <c r="F52" i="9"/>
  <c r="F79" i="9"/>
  <c r="F76" i="9"/>
  <c r="F72" i="9"/>
  <c r="F48" i="9"/>
  <c r="F75" i="9"/>
  <c r="F71" i="9"/>
  <c r="F67" i="9"/>
  <c r="F54" i="9"/>
  <c r="F51" i="9"/>
  <c r="F78" i="9"/>
  <c r="F88" i="9"/>
  <c r="F82" i="9"/>
  <c r="F69" i="9"/>
  <c r="F64" i="9"/>
  <c r="F60" i="9"/>
  <c r="F56" i="9"/>
  <c r="F53" i="9"/>
  <c r="F86" i="9"/>
  <c r="F80" i="9"/>
  <c r="F47" i="9"/>
  <c r="L16" i="9"/>
  <c r="J19" i="9"/>
  <c r="V21" i="9"/>
  <c r="R22" i="9"/>
  <c r="J25" i="9"/>
  <c r="F26" i="9"/>
  <c r="V29" i="9"/>
  <c r="V33" i="9"/>
  <c r="R34" i="9"/>
  <c r="F37" i="9"/>
  <c r="V37" i="9"/>
  <c r="R38" i="9"/>
  <c r="F42" i="9"/>
  <c r="R43" i="9"/>
  <c r="F49" i="9"/>
  <c r="N52" i="9"/>
  <c r="F153" i="12"/>
  <c r="X198" i="12"/>
  <c r="Z198" i="12" s="1"/>
  <c r="L208" i="12"/>
  <c r="N208" i="12" s="1"/>
  <c r="D207" i="12"/>
  <c r="F207" i="12" s="1"/>
  <c r="X61" i="15"/>
  <c r="Z61" i="15" s="1"/>
  <c r="N64" i="15"/>
  <c r="Z153" i="15"/>
  <c r="R106" i="3"/>
  <c r="R146" i="3"/>
  <c r="R203" i="3"/>
  <c r="R96" i="3"/>
  <c r="R103" i="3"/>
  <c r="R111" i="3"/>
  <c r="R119" i="3"/>
  <c r="R127" i="3"/>
  <c r="R135" i="3"/>
  <c r="R151" i="3"/>
  <c r="R156" i="3"/>
  <c r="R163" i="3"/>
  <c r="R168" i="3"/>
  <c r="R171" i="3"/>
  <c r="R175" i="3"/>
  <c r="R180" i="3"/>
  <c r="R183" i="3"/>
  <c r="R195" i="3"/>
  <c r="R211" i="3"/>
  <c r="R215" i="3"/>
  <c r="R219" i="3"/>
  <c r="R242" i="3"/>
  <c r="R254" i="3"/>
  <c r="J16" i="4"/>
  <c r="R18" i="4"/>
  <c r="J20" i="4"/>
  <c r="F22" i="4"/>
  <c r="V22" i="4"/>
  <c r="R25" i="5"/>
  <c r="J27" i="5"/>
  <c r="R29" i="5"/>
  <c r="J31" i="5"/>
  <c r="R33" i="5"/>
  <c r="J34" i="5"/>
  <c r="R36" i="5"/>
  <c r="L12" i="7"/>
  <c r="V15" i="7"/>
  <c r="T18" i="7"/>
  <c r="R21" i="7"/>
  <c r="F25" i="7"/>
  <c r="V25" i="7"/>
  <c r="F29" i="7"/>
  <c r="V29" i="7"/>
  <c r="F33" i="7"/>
  <c r="V33" i="7"/>
  <c r="V36" i="7"/>
  <c r="J16" i="8"/>
  <c r="R18" i="8"/>
  <c r="J20" i="8"/>
  <c r="F22" i="8"/>
  <c r="V22" i="8"/>
  <c r="J79" i="9"/>
  <c r="J73" i="9"/>
  <c r="J65" i="9"/>
  <c r="J61" i="9"/>
  <c r="J57" i="9"/>
  <c r="J76" i="9"/>
  <c r="J72" i="9"/>
  <c r="J54" i="9"/>
  <c r="J48" i="9"/>
  <c r="J75" i="9"/>
  <c r="J71" i="9"/>
  <c r="J67" i="9"/>
  <c r="J51" i="9"/>
  <c r="J88" i="9"/>
  <c r="J82" i="9"/>
  <c r="J78" i="9"/>
  <c r="J70" i="9"/>
  <c r="J64" i="9"/>
  <c r="J60" i="9"/>
  <c r="J56" i="9"/>
  <c r="J50" i="9"/>
  <c r="J86" i="9"/>
  <c r="J80" i="9"/>
  <c r="J74" i="9"/>
  <c r="J66" i="9"/>
  <c r="J77" i="9"/>
  <c r="J63" i="9"/>
  <c r="J59" i="9"/>
  <c r="J55" i="9"/>
  <c r="J49" i="9"/>
  <c r="F14" i="9"/>
  <c r="V14" i="9"/>
  <c r="F18" i="9"/>
  <c r="V18" i="9"/>
  <c r="V22" i="9"/>
  <c r="R23" i="9"/>
  <c r="J26" i="9"/>
  <c r="F27" i="9"/>
  <c r="F31" i="9"/>
  <c r="V34" i="9"/>
  <c r="R35" i="9"/>
  <c r="V38" i="9"/>
  <c r="J42" i="9"/>
  <c r="R44" i="9"/>
  <c r="J45" i="9"/>
  <c r="L47" i="9"/>
  <c r="F50" i="9"/>
  <c r="J52" i="9"/>
  <c r="R58" i="9"/>
  <c r="R67" i="9"/>
  <c r="F74" i="9"/>
  <c r="Z24" i="11"/>
  <c r="X24" i="11"/>
  <c r="Z34" i="12"/>
  <c r="N38" i="12"/>
  <c r="Z62" i="12"/>
  <c r="F110" i="12"/>
  <c r="N119" i="12"/>
  <c r="Z120" i="12"/>
  <c r="N174" i="12"/>
  <c r="F194" i="12"/>
  <c r="Z200" i="12"/>
  <c r="P12" i="15"/>
  <c r="N16" i="15"/>
  <c r="Z17" i="15"/>
  <c r="N20" i="15"/>
  <c r="Z21" i="15"/>
  <c r="Z28" i="15"/>
  <c r="Z32" i="15"/>
  <c r="L41" i="15"/>
  <c r="N41" i="15" s="1"/>
  <c r="N49" i="15"/>
  <c r="N53" i="15"/>
  <c r="Z72" i="15"/>
  <c r="R98" i="3"/>
  <c r="R130" i="3"/>
  <c r="R31" i="4"/>
  <c r="R50" i="9"/>
  <c r="L64" i="9"/>
  <c r="N64" i="9" s="1"/>
  <c r="Z34" i="10"/>
  <c r="X34" i="10"/>
  <c r="L164" i="12"/>
  <c r="N164" i="12" s="1"/>
  <c r="N204" i="12"/>
  <c r="L204" i="12"/>
  <c r="R104" i="3"/>
  <c r="R112" i="3"/>
  <c r="R120" i="3"/>
  <c r="R128" i="3"/>
  <c r="R136" i="3"/>
  <c r="R145" i="3"/>
  <c r="R152" i="3"/>
  <c r="L164" i="3"/>
  <c r="X170" i="3"/>
  <c r="Z170" i="3" s="1"/>
  <c r="R172" i="3"/>
  <c r="L176" i="3"/>
  <c r="N176" i="3" s="1"/>
  <c r="X182" i="3"/>
  <c r="Z182" i="3" s="1"/>
  <c r="R184" i="3"/>
  <c r="R189" i="3"/>
  <c r="R192" i="3"/>
  <c r="X194" i="3"/>
  <c r="Z194" i="3" s="1"/>
  <c r="L196" i="3"/>
  <c r="N196" i="3" s="1"/>
  <c r="R212" i="3"/>
  <c r="L216" i="3"/>
  <c r="N216" i="3" s="1"/>
  <c r="R220" i="3"/>
  <c r="R229" i="3"/>
  <c r="R232" i="3"/>
  <c r="R236" i="3"/>
  <c r="R239" i="3"/>
  <c r="X240" i="3"/>
  <c r="L246" i="3"/>
  <c r="R250" i="3"/>
  <c r="L255" i="3"/>
  <c r="L12" i="4"/>
  <c r="F15" i="4"/>
  <c r="V15" i="4"/>
  <c r="L16" i="4"/>
  <c r="D18" i="4"/>
  <c r="T18" i="4"/>
  <c r="L20" i="4"/>
  <c r="R21" i="4"/>
  <c r="X22" i="4"/>
  <c r="F25" i="4"/>
  <c r="V25" i="4"/>
  <c r="F29" i="4"/>
  <c r="V29" i="4"/>
  <c r="F33" i="4"/>
  <c r="V33" i="4"/>
  <c r="F36" i="4"/>
  <c r="V36" i="4"/>
  <c r="J16" i="5"/>
  <c r="F22" i="5"/>
  <c r="V22" i="5"/>
  <c r="L34" i="5"/>
  <c r="F22" i="6"/>
  <c r="F28" i="6"/>
  <c r="N12" i="7"/>
  <c r="X15" i="7"/>
  <c r="V18" i="7"/>
  <c r="J22" i="7"/>
  <c r="R24" i="7"/>
  <c r="X25" i="7"/>
  <c r="X29" i="7"/>
  <c r="X33" i="7"/>
  <c r="L12" i="8"/>
  <c r="F15" i="8"/>
  <c r="L16" i="8"/>
  <c r="D18" i="8"/>
  <c r="L20" i="8"/>
  <c r="R21" i="8"/>
  <c r="X22" i="8"/>
  <c r="F25" i="8"/>
  <c r="V25" i="8"/>
  <c r="F29" i="8"/>
  <c r="V29" i="8"/>
  <c r="F33" i="8"/>
  <c r="V33" i="8"/>
  <c r="F36" i="8"/>
  <c r="L12" i="9"/>
  <c r="X14" i="9"/>
  <c r="P16" i="9"/>
  <c r="F20" i="9"/>
  <c r="V23" i="9"/>
  <c r="R24" i="9"/>
  <c r="J27" i="9"/>
  <c r="F28" i="9"/>
  <c r="J31" i="9"/>
  <c r="F32" i="9"/>
  <c r="V35" i="9"/>
  <c r="R36" i="9"/>
  <c r="J37" i="9"/>
  <c r="F40" i="9"/>
  <c r="R41" i="9"/>
  <c r="F43" i="9"/>
  <c r="V43" i="9"/>
  <c r="V44" i="9"/>
  <c r="F46" i="9"/>
  <c r="N47" i="9"/>
  <c r="V53" i="9"/>
  <c r="Z54" i="9"/>
  <c r="X54" i="9"/>
  <c r="V57" i="9"/>
  <c r="R62" i="9"/>
  <c r="F70" i="9"/>
  <c r="V78" i="9"/>
  <c r="P12" i="12"/>
  <c r="L15" i="12"/>
  <c r="X27" i="12"/>
  <c r="L31" i="12"/>
  <c r="X43" i="12"/>
  <c r="L47" i="12"/>
  <c r="Z50" i="12"/>
  <c r="Z66" i="12"/>
  <c r="N70" i="12"/>
  <c r="F86" i="12"/>
  <c r="F94" i="12"/>
  <c r="F102" i="12"/>
  <c r="F146" i="12"/>
  <c r="T12" i="15"/>
  <c r="Z13" i="15"/>
  <c r="X53" i="15"/>
  <c r="N56" i="15"/>
  <c r="X28" i="18"/>
  <c r="Z28" i="18" s="1"/>
  <c r="R138" i="3"/>
  <c r="R187" i="3"/>
  <c r="R190" i="3"/>
  <c r="R34" i="8"/>
  <c r="R78" i="9"/>
  <c r="R70" i="9"/>
  <c r="R74" i="9"/>
  <c r="R69" i="9"/>
  <c r="R66" i="9"/>
  <c r="R53" i="9"/>
  <c r="R86" i="9"/>
  <c r="R80" i="9"/>
  <c r="R77" i="9"/>
  <c r="R49" i="9"/>
  <c r="R91" i="9"/>
  <c r="R84" i="9"/>
  <c r="R68" i="9"/>
  <c r="R63" i="9"/>
  <c r="R59" i="9"/>
  <c r="R55" i="9"/>
  <c r="R52" i="9"/>
  <c r="R79" i="9"/>
  <c r="R73" i="9"/>
  <c r="R65" i="9"/>
  <c r="R61" i="9"/>
  <c r="R57" i="9"/>
  <c r="R54" i="9"/>
  <c r="R76" i="9"/>
  <c r="R72" i="9"/>
  <c r="R48" i="9"/>
  <c r="R97" i="3"/>
  <c r="R105" i="3"/>
  <c r="R113" i="3"/>
  <c r="R121" i="3"/>
  <c r="R129" i="3"/>
  <c r="R137" i="3"/>
  <c r="R153" i="3"/>
  <c r="R157" i="3"/>
  <c r="R166" i="3"/>
  <c r="R169" i="3"/>
  <c r="R178" i="3"/>
  <c r="R181" i="3"/>
  <c r="R193" i="3"/>
  <c r="R198" i="3"/>
  <c r="R221" i="3"/>
  <c r="R226" i="3"/>
  <c r="R233" i="3"/>
  <c r="N12" i="4"/>
  <c r="L12" i="5"/>
  <c r="F15" i="5"/>
  <c r="D18" i="5"/>
  <c r="T18" i="5"/>
  <c r="F25" i="5"/>
  <c r="V25" i="5"/>
  <c r="F29" i="5"/>
  <c r="V29" i="5"/>
  <c r="F33" i="5"/>
  <c r="V33" i="5"/>
  <c r="J15" i="7"/>
  <c r="H18" i="7"/>
  <c r="J25" i="7"/>
  <c r="R27" i="7"/>
  <c r="J29" i="7"/>
  <c r="R31" i="7"/>
  <c r="J33" i="7"/>
  <c r="R16" i="9"/>
  <c r="F21" i="9"/>
  <c r="R25" i="9"/>
  <c r="J28" i="9"/>
  <c r="F29" i="9"/>
  <c r="R30" i="9"/>
  <c r="J32" i="9"/>
  <c r="F33" i="9"/>
  <c r="V36" i="9"/>
  <c r="J40" i="9"/>
  <c r="J46" i="9"/>
  <c r="J47" i="9"/>
  <c r="R51" i="9"/>
  <c r="N56" i="9"/>
  <c r="L56" i="9"/>
  <c r="V61" i="9"/>
  <c r="V65" i="9"/>
  <c r="R71" i="9"/>
  <c r="L77" i="9"/>
  <c r="N77" i="9" s="1"/>
  <c r="R82" i="9"/>
  <c r="N15" i="12"/>
  <c r="Z27" i="12"/>
  <c r="N31" i="12"/>
  <c r="Z43" i="12"/>
  <c r="X59" i="12"/>
  <c r="Z59" i="12" s="1"/>
  <c r="L63" i="12"/>
  <c r="N63" i="12" s="1"/>
  <c r="Z208" i="12"/>
  <c r="T207" i="12"/>
  <c r="X207" i="12" s="1"/>
  <c r="X208" i="12"/>
  <c r="F211" i="12"/>
  <c r="Z16" i="14"/>
  <c r="X16" i="14"/>
  <c r="Z20" i="14"/>
  <c r="X20" i="14"/>
  <c r="N24" i="14"/>
  <c r="L24" i="14"/>
  <c r="L18" i="15"/>
  <c r="D12" i="15"/>
  <c r="Z20" i="15"/>
  <c r="Z24" i="15"/>
  <c r="L33" i="15"/>
  <c r="N33" i="15" s="1"/>
  <c r="N37" i="15"/>
  <c r="Z45" i="15"/>
  <c r="N48" i="15"/>
  <c r="Z49" i="15"/>
  <c r="Z53" i="15"/>
  <c r="Z60" i="15"/>
  <c r="Z64" i="15"/>
  <c r="Z71" i="15"/>
  <c r="L73" i="15"/>
  <c r="N148" i="15"/>
  <c r="R57" i="21"/>
  <c r="R54" i="21"/>
  <c r="R33" i="21"/>
  <c r="R25" i="21"/>
  <c r="R72" i="21"/>
  <c r="R48" i="21"/>
  <c r="R45" i="21"/>
  <c r="R32" i="21"/>
  <c r="R29" i="21"/>
  <c r="R24" i="21"/>
  <c r="R78" i="21"/>
  <c r="R71" i="21"/>
  <c r="R59" i="21"/>
  <c r="R56" i="21"/>
  <c r="R51" i="21"/>
  <c r="R31" i="21"/>
  <c r="R74" i="21"/>
  <c r="R70" i="21"/>
  <c r="R66" i="21"/>
  <c r="R62" i="21"/>
  <c r="R50" i="21"/>
  <c r="R47" i="21"/>
  <c r="R42" i="21"/>
  <c r="R38" i="21"/>
  <c r="R23" i="21"/>
  <c r="R69" i="21"/>
  <c r="R65" i="21"/>
  <c r="R61" i="21"/>
  <c r="R58" i="21"/>
  <c r="R53" i="21"/>
  <c r="R41" i="21"/>
  <c r="R37" i="21"/>
  <c r="R30" i="21"/>
  <c r="R82" i="21"/>
  <c r="R76" i="21"/>
  <c r="R73" i="21"/>
  <c r="R68" i="21"/>
  <c r="R64" i="21"/>
  <c r="R49" i="21"/>
  <c r="R44" i="21"/>
  <c r="R40" i="21"/>
  <c r="R36" i="21"/>
  <c r="R46" i="21"/>
  <c r="R43" i="21"/>
  <c r="P27" i="21"/>
  <c r="R27" i="21" s="1"/>
  <c r="R34" i="21"/>
  <c r="R52" i="21"/>
  <c r="R67" i="21"/>
  <c r="R39" i="21"/>
  <c r="R63" i="21"/>
  <c r="R75" i="21"/>
  <c r="R55" i="21"/>
  <c r="R35" i="21"/>
  <c r="X12" i="10"/>
  <c r="J21" i="10"/>
  <c r="X24" i="10"/>
  <c r="F27" i="10"/>
  <c r="F31" i="10"/>
  <c r="F34" i="10"/>
  <c r="L15" i="11"/>
  <c r="J18" i="11"/>
  <c r="X21" i="11"/>
  <c r="F24" i="11"/>
  <c r="V24" i="11"/>
  <c r="L25" i="11"/>
  <c r="L29" i="11"/>
  <c r="L33" i="11"/>
  <c r="T12" i="12"/>
  <c r="R15" i="13"/>
  <c r="P18" i="13"/>
  <c r="R25" i="13"/>
  <c r="J27" i="13"/>
  <c r="R29" i="13"/>
  <c r="J31" i="13"/>
  <c r="R33" i="13"/>
  <c r="J34" i="13"/>
  <c r="R36" i="13"/>
  <c r="Z12" i="14"/>
  <c r="F16" i="14"/>
  <c r="V16" i="14"/>
  <c r="F20" i="14"/>
  <c r="V20" i="14"/>
  <c r="R22" i="14"/>
  <c r="J24" i="14"/>
  <c r="X13" i="15"/>
  <c r="L155" i="15"/>
  <c r="L33" i="16"/>
  <c r="T12" i="18"/>
  <c r="N20" i="18"/>
  <c r="Z36" i="18"/>
  <c r="X36" i="18"/>
  <c r="R143" i="18"/>
  <c r="D12" i="24"/>
  <c r="F16" i="10"/>
  <c r="F20" i="10"/>
  <c r="R22" i="10"/>
  <c r="F27" i="11"/>
  <c r="V27" i="11"/>
  <c r="F31" i="11"/>
  <c r="V31" i="11"/>
  <c r="F34" i="11"/>
  <c r="V34" i="11"/>
  <c r="J16" i="13"/>
  <c r="J20" i="13"/>
  <c r="J27" i="14"/>
  <c r="J31" i="14"/>
  <c r="J34" i="14"/>
  <c r="L140" i="15"/>
  <c r="N140" i="15" s="1"/>
  <c r="N155" i="15"/>
  <c r="Z162" i="15"/>
  <c r="N201" i="15"/>
  <c r="L25" i="16"/>
  <c r="L29" i="16"/>
  <c r="L22" i="17"/>
  <c r="R183" i="18"/>
  <c r="R25" i="10"/>
  <c r="R29" i="10"/>
  <c r="R33" i="10"/>
  <c r="R36" i="10"/>
  <c r="L12" i="13"/>
  <c r="D18" i="13"/>
  <c r="T18" i="13"/>
  <c r="V25" i="13"/>
  <c r="F29" i="13"/>
  <c r="V29" i="13"/>
  <c r="F33" i="13"/>
  <c r="V33" i="13"/>
  <c r="F36" i="13"/>
  <c r="V36" i="13"/>
  <c r="J16" i="14"/>
  <c r="J20" i="14"/>
  <c r="F22" i="14"/>
  <c r="V22" i="14"/>
  <c r="H12" i="15"/>
  <c r="X15" i="15"/>
  <c r="L19" i="15"/>
  <c r="N19" i="15" s="1"/>
  <c r="X23" i="15"/>
  <c r="Z23" i="15" s="1"/>
  <c r="L27" i="15"/>
  <c r="N27" i="15" s="1"/>
  <c r="X31" i="15"/>
  <c r="Z31" i="15" s="1"/>
  <c r="L35" i="15"/>
  <c r="N35" i="15" s="1"/>
  <c r="X39" i="15"/>
  <c r="Z39" i="15" s="1"/>
  <c r="L43" i="15"/>
  <c r="X47" i="15"/>
  <c r="Z47" i="15" s="1"/>
  <c r="L51" i="15"/>
  <c r="N51" i="15" s="1"/>
  <c r="X55" i="15"/>
  <c r="L59" i="15"/>
  <c r="N59" i="15" s="1"/>
  <c r="X63" i="15"/>
  <c r="Z63" i="15" s="1"/>
  <c r="L67" i="15"/>
  <c r="N67" i="15" s="1"/>
  <c r="X71" i="15"/>
  <c r="Z143" i="15"/>
  <c r="L148" i="15"/>
  <c r="Z17" i="18"/>
  <c r="Z44" i="18"/>
  <c r="X44" i="18"/>
  <c r="R159" i="18"/>
  <c r="R24" i="20"/>
  <c r="R21" i="20"/>
  <c r="R18" i="20"/>
  <c r="R36" i="20"/>
  <c r="R33" i="20"/>
  <c r="R29" i="20"/>
  <c r="R25" i="20"/>
  <c r="P18" i="20"/>
  <c r="R15" i="20"/>
  <c r="R22" i="20"/>
  <c r="X12" i="20"/>
  <c r="R31" i="20"/>
  <c r="R27" i="20"/>
  <c r="R20" i="20"/>
  <c r="R16" i="20"/>
  <c r="J16" i="10"/>
  <c r="R18" i="10"/>
  <c r="J20" i="10"/>
  <c r="F22" i="10"/>
  <c r="J27" i="11"/>
  <c r="J31" i="11"/>
  <c r="J34" i="11"/>
  <c r="N12" i="13"/>
  <c r="V18" i="13"/>
  <c r="J22" i="13"/>
  <c r="L12" i="14"/>
  <c r="F15" i="14"/>
  <c r="V15" i="14"/>
  <c r="D18" i="14"/>
  <c r="T18" i="14"/>
  <c r="F25" i="14"/>
  <c r="V25" i="14"/>
  <c r="F29" i="14"/>
  <c r="V29" i="14"/>
  <c r="F33" i="14"/>
  <c r="V33" i="14"/>
  <c r="F36" i="14"/>
  <c r="V36" i="14"/>
  <c r="L14" i="18"/>
  <c r="D12" i="18"/>
  <c r="X52" i="18"/>
  <c r="Z52" i="18" s="1"/>
  <c r="Z60" i="18"/>
  <c r="X60" i="18"/>
  <c r="L12" i="10"/>
  <c r="F15" i="10"/>
  <c r="D18" i="10"/>
  <c r="R21" i="10"/>
  <c r="F25" i="10"/>
  <c r="F29" i="10"/>
  <c r="F33" i="10"/>
  <c r="F36" i="10"/>
  <c r="J16" i="11"/>
  <c r="F22" i="11"/>
  <c r="V22" i="11"/>
  <c r="H207" i="12"/>
  <c r="J15" i="13"/>
  <c r="H18" i="13"/>
  <c r="F21" i="13"/>
  <c r="V21" i="13"/>
  <c r="J25" i="13"/>
  <c r="R27" i="13"/>
  <c r="J29" i="13"/>
  <c r="R31" i="13"/>
  <c r="J33" i="13"/>
  <c r="J36" i="13"/>
  <c r="N12" i="14"/>
  <c r="F18" i="14"/>
  <c r="V18" i="14"/>
  <c r="J22" i="14"/>
  <c r="R24" i="14"/>
  <c r="Z155" i="15"/>
  <c r="N13" i="17"/>
  <c r="L13" i="17"/>
  <c r="N14" i="18"/>
  <c r="L24" i="18"/>
  <c r="N24" i="18" s="1"/>
  <c r="X68" i="18"/>
  <c r="Z68" i="18" s="1"/>
  <c r="X76" i="18"/>
  <c r="Z76" i="18" s="1"/>
  <c r="Z84" i="18"/>
  <c r="X84" i="18"/>
  <c r="N158" i="18"/>
  <c r="F18" i="10"/>
  <c r="J22" i="10"/>
  <c r="R24" i="10"/>
  <c r="V15" i="11"/>
  <c r="T18" i="11"/>
  <c r="F25" i="11"/>
  <c r="V25" i="11"/>
  <c r="F29" i="11"/>
  <c r="V29" i="11"/>
  <c r="F33" i="11"/>
  <c r="V33" i="11"/>
  <c r="J18" i="13"/>
  <c r="F24" i="13"/>
  <c r="V24" i="13"/>
  <c r="J15" i="14"/>
  <c r="H18" i="14"/>
  <c r="F21" i="14"/>
  <c r="V21" i="14"/>
  <c r="J25" i="14"/>
  <c r="R27" i="14"/>
  <c r="J29" i="14"/>
  <c r="R31" i="14"/>
  <c r="J33" i="14"/>
  <c r="J36" i="14"/>
  <c r="L136" i="15"/>
  <c r="N136" i="15" s="1"/>
  <c r="X138" i="15"/>
  <c r="Z138" i="15"/>
  <c r="R221" i="18"/>
  <c r="R218" i="18"/>
  <c r="R214" i="18"/>
  <c r="R211" i="18"/>
  <c r="R202" i="18"/>
  <c r="R194" i="18"/>
  <c r="R190" i="18"/>
  <c r="R186" i="18"/>
  <c r="R179" i="18"/>
  <c r="R174" i="18"/>
  <c r="R150" i="18"/>
  <c r="R146" i="18"/>
  <c r="R138" i="18"/>
  <c r="R130" i="18"/>
  <c r="R122" i="18"/>
  <c r="R114" i="18"/>
  <c r="R106" i="18"/>
  <c r="R98" i="18"/>
  <c r="R224" i="18"/>
  <c r="R198" i="18"/>
  <c r="R185" i="18"/>
  <c r="R182" i="18"/>
  <c r="R173" i="18"/>
  <c r="R170" i="18"/>
  <c r="R161" i="18"/>
  <c r="R158" i="18"/>
  <c r="R149" i="18"/>
  <c r="R145" i="18"/>
  <c r="R129" i="18"/>
  <c r="R121" i="18"/>
  <c r="R113" i="18"/>
  <c r="R105" i="18"/>
  <c r="R97" i="18"/>
  <c r="R90" i="18"/>
  <c r="R222" i="18"/>
  <c r="R225" i="18"/>
  <c r="R210" i="18"/>
  <c r="R206" i="18"/>
  <c r="R178" i="18"/>
  <c r="R175" i="18"/>
  <c r="R166" i="18"/>
  <c r="R154" i="18"/>
  <c r="R142" i="18"/>
  <c r="P134" i="18"/>
  <c r="R126" i="18"/>
  <c r="R118" i="18"/>
  <c r="R110" i="18"/>
  <c r="R102" i="18"/>
  <c r="R94" i="18"/>
  <c r="R220" i="18"/>
  <c r="R209" i="18"/>
  <c r="R205" i="18"/>
  <c r="R197" i="18"/>
  <c r="R181" i="18"/>
  <c r="R169" i="18"/>
  <c r="R162" i="18"/>
  <c r="R157" i="18"/>
  <c r="R153" i="18"/>
  <c r="R141" i="18"/>
  <c r="R125" i="18"/>
  <c r="R117" i="18"/>
  <c r="R109" i="18"/>
  <c r="R101" i="18"/>
  <c r="R93" i="18"/>
  <c r="R226" i="18"/>
  <c r="R208" i="18"/>
  <c r="R189" i="18"/>
  <c r="R188" i="18"/>
  <c r="R187" i="18"/>
  <c r="R180" i="18"/>
  <c r="R172" i="18"/>
  <c r="R167" i="18"/>
  <c r="R132" i="18"/>
  <c r="R131" i="18"/>
  <c r="R116" i="18"/>
  <c r="R115" i="18"/>
  <c r="R104" i="18"/>
  <c r="R103" i="18"/>
  <c r="R92" i="18"/>
  <c r="R91" i="18"/>
  <c r="R223" i="18"/>
  <c r="R215" i="18"/>
  <c r="R207" i="18"/>
  <c r="R203" i="18"/>
  <c r="R193" i="18"/>
  <c r="R192" i="18"/>
  <c r="R191" i="18"/>
  <c r="R184" i="18"/>
  <c r="R171" i="18"/>
  <c r="R156" i="18"/>
  <c r="R147" i="18"/>
  <c r="R217" i="18"/>
  <c r="R216" i="18"/>
  <c r="R204" i="18"/>
  <c r="R160" i="18"/>
  <c r="R137" i="18"/>
  <c r="R136" i="18"/>
  <c r="R128" i="18"/>
  <c r="R127" i="18"/>
  <c r="R112" i="18"/>
  <c r="R111" i="18"/>
  <c r="R100" i="18"/>
  <c r="R99" i="18"/>
  <c r="R139" i="18"/>
  <c r="R124" i="18"/>
  <c r="R123" i="18"/>
  <c r="R108" i="18"/>
  <c r="R107" i="18"/>
  <c r="R163" i="18"/>
  <c r="R152" i="18"/>
  <c r="R151" i="18"/>
  <c r="R140" i="18"/>
  <c r="R230" i="18"/>
  <c r="R213" i="18"/>
  <c r="R212" i="18"/>
  <c r="R199" i="18"/>
  <c r="R177" i="18"/>
  <c r="R176" i="18"/>
  <c r="R168" i="18"/>
  <c r="R165" i="18"/>
  <c r="R164" i="18"/>
  <c r="R120" i="18"/>
  <c r="R119" i="18"/>
  <c r="R96" i="18"/>
  <c r="R95" i="18"/>
  <c r="R201" i="18"/>
  <c r="R200" i="18"/>
  <c r="R148" i="18"/>
  <c r="N23" i="18"/>
  <c r="N41" i="18"/>
  <c r="R155" i="18"/>
  <c r="Z30" i="21"/>
  <c r="J25" i="10"/>
  <c r="R27" i="10"/>
  <c r="J29" i="10"/>
  <c r="R31" i="10"/>
  <c r="J33" i="10"/>
  <c r="V27" i="13"/>
  <c r="F31" i="13"/>
  <c r="V31" i="13"/>
  <c r="N143" i="15"/>
  <c r="X153" i="15"/>
  <c r="N157" i="15"/>
  <c r="L15" i="16"/>
  <c r="N13" i="18"/>
  <c r="H12" i="18"/>
  <c r="R144" i="18"/>
  <c r="Z158" i="18"/>
  <c r="L170" i="18"/>
  <c r="N170" i="18" s="1"/>
  <c r="N189" i="18"/>
  <c r="R195" i="18"/>
  <c r="N224" i="18"/>
  <c r="L224" i="18"/>
  <c r="H220" i="18"/>
  <c r="L28" i="30"/>
  <c r="D12" i="30"/>
  <c r="Z13" i="32"/>
  <c r="X13" i="32"/>
  <c r="F16" i="16"/>
  <c r="V16" i="16"/>
  <c r="F20" i="16"/>
  <c r="V20" i="16"/>
  <c r="J24" i="16"/>
  <c r="F27" i="17"/>
  <c r="F31" i="17"/>
  <c r="F34" i="17"/>
  <c r="Z32" i="18"/>
  <c r="Z40" i="18"/>
  <c r="N45" i="18"/>
  <c r="Z80" i="18"/>
  <c r="X179" i="18"/>
  <c r="H12" i="21"/>
  <c r="N15" i="21"/>
  <c r="N45" i="21"/>
  <c r="D27" i="28"/>
  <c r="X138" i="30"/>
  <c r="P137" i="30"/>
  <c r="R25" i="59"/>
  <c r="R16" i="59"/>
  <c r="R53" i="59"/>
  <c r="R47" i="59"/>
  <c r="R40" i="59"/>
  <c r="R36" i="59"/>
  <c r="R33" i="59"/>
  <c r="R29" i="59"/>
  <c r="R24" i="59"/>
  <c r="P16" i="59"/>
  <c r="R39" i="59"/>
  <c r="R23" i="59"/>
  <c r="R42" i="59"/>
  <c r="R38" i="59"/>
  <c r="R35" i="59"/>
  <c r="R22" i="59"/>
  <c r="R34" i="59"/>
  <c r="R31" i="59"/>
  <c r="R28" i="59"/>
  <c r="R51" i="59"/>
  <c r="R32" i="59"/>
  <c r="R41" i="59"/>
  <c r="R56" i="59"/>
  <c r="R18" i="59"/>
  <c r="R14" i="59"/>
  <c r="X12" i="59"/>
  <c r="R49" i="59"/>
  <c r="R45" i="59"/>
  <c r="R44" i="59"/>
  <c r="R43" i="59"/>
  <c r="R37" i="59"/>
  <c r="R21" i="59"/>
  <c r="R20" i="59"/>
  <c r="R19" i="59"/>
  <c r="R26" i="59"/>
  <c r="R27" i="59"/>
  <c r="R30" i="59"/>
  <c r="J31" i="16"/>
  <c r="J34" i="16"/>
  <c r="N28" i="18"/>
  <c r="X48" i="18"/>
  <c r="Z48" i="18" s="1"/>
  <c r="X56" i="18"/>
  <c r="Z56" i="18" s="1"/>
  <c r="X64" i="18"/>
  <c r="Z64" i="18" s="1"/>
  <c r="X72" i="18"/>
  <c r="Z72" i="18" s="1"/>
  <c r="X80" i="18"/>
  <c r="X88" i="18"/>
  <c r="Z88" i="18" s="1"/>
  <c r="N136" i="18"/>
  <c r="N160" i="18"/>
  <c r="Z179" i="18"/>
  <c r="Z208" i="18"/>
  <c r="V34" i="19"/>
  <c r="L15" i="21"/>
  <c r="N56" i="21"/>
  <c r="X67" i="21"/>
  <c r="Z67" i="21" s="1"/>
  <c r="L20" i="22"/>
  <c r="J34" i="22"/>
  <c r="N18" i="24"/>
  <c r="Z19" i="24"/>
  <c r="J16" i="16"/>
  <c r="J20" i="16"/>
  <c r="F22" i="16"/>
  <c r="V22" i="16"/>
  <c r="L34" i="16"/>
  <c r="X16" i="17"/>
  <c r="P18" i="17"/>
  <c r="X20" i="17"/>
  <c r="L24" i="17"/>
  <c r="R25" i="17"/>
  <c r="R29" i="17"/>
  <c r="R33" i="17"/>
  <c r="J34" i="17"/>
  <c r="R36" i="17"/>
  <c r="Z13" i="18"/>
  <c r="X14" i="18"/>
  <c r="Z14" i="18" s="1"/>
  <c r="L28" i="18"/>
  <c r="Z29" i="18"/>
  <c r="L36" i="18"/>
  <c r="N36" i="18" s="1"/>
  <c r="Z37" i="18"/>
  <c r="L44" i="18"/>
  <c r="N44" i="18" s="1"/>
  <c r="Z45" i="18"/>
  <c r="L52" i="18"/>
  <c r="N52" i="18" s="1"/>
  <c r="Z53" i="18"/>
  <c r="L60" i="18"/>
  <c r="N60" i="18" s="1"/>
  <c r="Z61" i="18"/>
  <c r="L68" i="18"/>
  <c r="N68" i="18" s="1"/>
  <c r="Z69" i="18"/>
  <c r="L76" i="18"/>
  <c r="N76" i="18" s="1"/>
  <c r="Z77" i="18"/>
  <c r="L84" i="18"/>
  <c r="N84" i="18" s="1"/>
  <c r="Z85" i="18"/>
  <c r="L90" i="18"/>
  <c r="N90" i="18" s="1"/>
  <c r="N137" i="18"/>
  <c r="Z148" i="18"/>
  <c r="N156" i="18"/>
  <c r="N217" i="18"/>
  <c r="L217" i="18"/>
  <c r="L221" i="18"/>
  <c r="N221" i="18" s="1"/>
  <c r="D220" i="18"/>
  <c r="L220" i="18" s="1"/>
  <c r="V31" i="19"/>
  <c r="Z39" i="21"/>
  <c r="Z45" i="21"/>
  <c r="L78" i="21"/>
  <c r="J16" i="22"/>
  <c r="X25" i="22"/>
  <c r="N20" i="23"/>
  <c r="L20" i="23"/>
  <c r="T12" i="24"/>
  <c r="Z14" i="24"/>
  <c r="Z55" i="27"/>
  <c r="T198" i="15"/>
  <c r="L12" i="16"/>
  <c r="F15" i="16"/>
  <c r="V15" i="16"/>
  <c r="D18" i="16"/>
  <c r="T18" i="16"/>
  <c r="R21" i="16"/>
  <c r="F25" i="16"/>
  <c r="V25" i="16"/>
  <c r="F29" i="16"/>
  <c r="V29" i="16"/>
  <c r="F33" i="16"/>
  <c r="V33" i="16"/>
  <c r="F36" i="16"/>
  <c r="V36" i="16"/>
  <c r="J16" i="17"/>
  <c r="R18" i="17"/>
  <c r="J20" i="17"/>
  <c r="F22" i="17"/>
  <c r="V22" i="17"/>
  <c r="L21" i="18"/>
  <c r="N21" i="18" s="1"/>
  <c r="L33" i="18"/>
  <c r="N33" i="18" s="1"/>
  <c r="L41" i="18"/>
  <c r="L49" i="18"/>
  <c r="L57" i="18"/>
  <c r="N57" i="18" s="1"/>
  <c r="L65" i="18"/>
  <c r="N65" i="18" s="1"/>
  <c r="L73" i="18"/>
  <c r="N73" i="18" s="1"/>
  <c r="L81" i="18"/>
  <c r="Z162" i="18"/>
  <c r="Z168" i="18"/>
  <c r="X175" i="18"/>
  <c r="Z175" i="18" s="1"/>
  <c r="N182" i="18"/>
  <c r="L189" i="18"/>
  <c r="N193" i="18"/>
  <c r="X211" i="18"/>
  <c r="Z211" i="18" s="1"/>
  <c r="V21" i="19"/>
  <c r="V18" i="19"/>
  <c r="V22" i="19"/>
  <c r="V20" i="19"/>
  <c r="V16" i="19"/>
  <c r="Z12" i="19"/>
  <c r="X23" i="24"/>
  <c r="X29" i="24"/>
  <c r="Z29" i="24" s="1"/>
  <c r="X23" i="27"/>
  <c r="Z23" i="27" s="1"/>
  <c r="H198" i="15"/>
  <c r="L198" i="15" s="1"/>
  <c r="J15" i="16"/>
  <c r="H18" i="16"/>
  <c r="F21" i="16"/>
  <c r="V21" i="16"/>
  <c r="J25" i="16"/>
  <c r="R27" i="16"/>
  <c r="J29" i="16"/>
  <c r="R31" i="16"/>
  <c r="J33" i="16"/>
  <c r="R34" i="16"/>
  <c r="J36" i="16"/>
  <c r="F18" i="17"/>
  <c r="V18" i="17"/>
  <c r="J22" i="17"/>
  <c r="R24" i="17"/>
  <c r="N32" i="18"/>
  <c r="X33" i="18"/>
  <c r="N40" i="18"/>
  <c r="X41" i="18"/>
  <c r="X49" i="18"/>
  <c r="N56" i="18"/>
  <c r="X57" i="18"/>
  <c r="N64" i="18"/>
  <c r="X65" i="18"/>
  <c r="Z65" i="18" s="1"/>
  <c r="N72" i="18"/>
  <c r="X73" i="18"/>
  <c r="N80" i="18"/>
  <c r="X81" i="18"/>
  <c r="N88" i="18"/>
  <c r="X184" i="18"/>
  <c r="Z184" i="18" s="1"/>
  <c r="N201" i="18"/>
  <c r="V27" i="19"/>
  <c r="V29" i="19"/>
  <c r="V36" i="19"/>
  <c r="V18" i="20"/>
  <c r="V36" i="20"/>
  <c r="V33" i="20"/>
  <c r="V29" i="20"/>
  <c r="V25" i="20"/>
  <c r="T18" i="20"/>
  <c r="V15" i="20"/>
  <c r="V22" i="20"/>
  <c r="V20" i="20"/>
  <c r="V16" i="20"/>
  <c r="Z12" i="20"/>
  <c r="V34" i="20"/>
  <c r="V31" i="20"/>
  <c r="V27" i="20"/>
  <c r="T12" i="21"/>
  <c r="X12" i="21" s="1"/>
  <c r="N23" i="21"/>
  <c r="X43" i="21"/>
  <c r="Z63" i="21"/>
  <c r="Z75" i="21"/>
  <c r="J27" i="22"/>
  <c r="N27" i="24"/>
  <c r="Z69" i="24"/>
  <c r="F20" i="29"/>
  <c r="F16" i="29"/>
  <c r="F34" i="29"/>
  <c r="F31" i="29"/>
  <c r="F27" i="29"/>
  <c r="F24" i="29"/>
  <c r="F21" i="29"/>
  <c r="F18" i="29"/>
  <c r="F36" i="29"/>
  <c r="F33" i="29"/>
  <c r="F29" i="29"/>
  <c r="F25" i="29"/>
  <c r="D18" i="29"/>
  <c r="F15" i="29"/>
  <c r="L12" i="29"/>
  <c r="N28" i="30"/>
  <c r="F34" i="31"/>
  <c r="F31" i="31"/>
  <c r="F27" i="31"/>
  <c r="F24" i="31"/>
  <c r="F21" i="31"/>
  <c r="F18" i="31"/>
  <c r="F36" i="31"/>
  <c r="F33" i="31"/>
  <c r="F29" i="31"/>
  <c r="F25" i="31"/>
  <c r="D18" i="31"/>
  <c r="F15" i="31"/>
  <c r="L12" i="31"/>
  <c r="F22" i="31"/>
  <c r="F16" i="31"/>
  <c r="F20" i="31"/>
  <c r="X15" i="31"/>
  <c r="P18" i="31"/>
  <c r="J18" i="16"/>
  <c r="F24" i="16"/>
  <c r="V24" i="16"/>
  <c r="F21" i="17"/>
  <c r="R27" i="17"/>
  <c r="J29" i="17"/>
  <c r="R31" i="17"/>
  <c r="J33" i="17"/>
  <c r="R34" i="17"/>
  <c r="J36" i="17"/>
  <c r="Z33" i="18"/>
  <c r="Z41" i="18"/>
  <c r="Z49" i="18"/>
  <c r="Z57" i="18"/>
  <c r="Z73" i="18"/>
  <c r="L162" i="18"/>
  <c r="N162" i="18" s="1"/>
  <c r="N165" i="18"/>
  <c r="X172" i="18"/>
  <c r="Z172" i="18" s="1"/>
  <c r="L177" i="18"/>
  <c r="N177" i="18" s="1"/>
  <c r="N213" i="18"/>
  <c r="L213" i="18"/>
  <c r="X221" i="18"/>
  <c r="X222" i="18"/>
  <c r="Z224" i="18"/>
  <c r="X226" i="18"/>
  <c r="Z226" i="18" s="1"/>
  <c r="L13" i="19"/>
  <c r="T18" i="19"/>
  <c r="V24" i="19"/>
  <c r="L21" i="20"/>
  <c r="L16" i="21"/>
  <c r="L45" i="21"/>
  <c r="X54" i="21"/>
  <c r="Z54" i="21" s="1"/>
  <c r="F20" i="22"/>
  <c r="F16" i="22"/>
  <c r="F34" i="22"/>
  <c r="F31" i="22"/>
  <c r="F27" i="22"/>
  <c r="F24" i="22"/>
  <c r="F21" i="22"/>
  <c r="F18" i="22"/>
  <c r="F36" i="22"/>
  <c r="F33" i="22"/>
  <c r="F29" i="22"/>
  <c r="F25" i="22"/>
  <c r="D18" i="22"/>
  <c r="F15" i="22"/>
  <c r="L12" i="22"/>
  <c r="Z33" i="22"/>
  <c r="X33" i="22"/>
  <c r="F34" i="23"/>
  <c r="F31" i="23"/>
  <c r="F27" i="23"/>
  <c r="F24" i="23"/>
  <c r="F21" i="23"/>
  <c r="F18" i="23"/>
  <c r="F36" i="23"/>
  <c r="F33" i="23"/>
  <c r="F29" i="23"/>
  <c r="F25" i="23"/>
  <c r="D18" i="23"/>
  <c r="F15" i="23"/>
  <c r="L12" i="23"/>
  <c r="F22" i="23"/>
  <c r="F16" i="23"/>
  <c r="P18" i="23"/>
  <c r="N15" i="24"/>
  <c r="L19" i="24"/>
  <c r="Z22" i="24"/>
  <c r="Z32" i="27"/>
  <c r="N36" i="27"/>
  <c r="J24" i="29"/>
  <c r="J21" i="29"/>
  <c r="J18" i="29"/>
  <c r="J36" i="29"/>
  <c r="J33" i="29"/>
  <c r="J29" i="29"/>
  <c r="J25" i="29"/>
  <c r="H18" i="29"/>
  <c r="J15" i="29"/>
  <c r="J22" i="29"/>
  <c r="N12" i="29"/>
  <c r="J34" i="29"/>
  <c r="J20" i="29"/>
  <c r="J31" i="29"/>
  <c r="J27" i="29"/>
  <c r="J16" i="29"/>
  <c r="H12" i="30"/>
  <c r="N34" i="31"/>
  <c r="L34" i="31"/>
  <c r="L16" i="36"/>
  <c r="N16" i="36" s="1"/>
  <c r="H12" i="36"/>
  <c r="F27" i="16"/>
  <c r="V27" i="16"/>
  <c r="F31" i="16"/>
  <c r="V31" i="16"/>
  <c r="R16" i="17"/>
  <c r="Z24" i="18"/>
  <c r="L29" i="18"/>
  <c r="N29" i="18" s="1"/>
  <c r="L37" i="18"/>
  <c r="N37" i="18" s="1"/>
  <c r="L45" i="18"/>
  <c r="L53" i="18"/>
  <c r="L61" i="18"/>
  <c r="N61" i="18" s="1"/>
  <c r="L69" i="18"/>
  <c r="N69" i="18" s="1"/>
  <c r="L77" i="18"/>
  <c r="N77" i="18" s="1"/>
  <c r="L85" i="18"/>
  <c r="N85" i="18" s="1"/>
  <c r="Z90" i="18"/>
  <c r="L158" i="18"/>
  <c r="Z221" i="18"/>
  <c r="T220" i="18"/>
  <c r="X16" i="19"/>
  <c r="X34" i="19"/>
  <c r="L29" i="21"/>
  <c r="N29" i="21" s="1"/>
  <c r="J24" i="22"/>
  <c r="J21" i="22"/>
  <c r="J18" i="22"/>
  <c r="J36" i="22"/>
  <c r="J33" i="22"/>
  <c r="J29" i="22"/>
  <c r="J25" i="22"/>
  <c r="H18" i="22"/>
  <c r="J15" i="22"/>
  <c r="J22" i="22"/>
  <c r="N12" i="22"/>
  <c r="N16" i="23"/>
  <c r="L16" i="23"/>
  <c r="Z22" i="23"/>
  <c r="X22" i="23"/>
  <c r="L34" i="23"/>
  <c r="P12" i="24"/>
  <c r="X15" i="24"/>
  <c r="Z15" i="24" s="1"/>
  <c r="N19" i="24"/>
  <c r="N26" i="24"/>
  <c r="N27" i="27"/>
  <c r="H12" i="27"/>
  <c r="Z13" i="34"/>
  <c r="X13" i="34"/>
  <c r="F16" i="19"/>
  <c r="F20" i="19"/>
  <c r="R22" i="19"/>
  <c r="J24" i="19"/>
  <c r="J21" i="20"/>
  <c r="F27" i="20"/>
  <c r="F31" i="20"/>
  <c r="F34" i="20"/>
  <c r="V15" i="22"/>
  <c r="T18" i="22"/>
  <c r="R21" i="22"/>
  <c r="V25" i="22"/>
  <c r="V29" i="22"/>
  <c r="V33" i="22"/>
  <c r="V36" i="22"/>
  <c r="J16" i="23"/>
  <c r="R18" i="23"/>
  <c r="J20" i="23"/>
  <c r="V22" i="23"/>
  <c r="H12" i="24"/>
  <c r="L59" i="24"/>
  <c r="T18" i="25"/>
  <c r="F20" i="26"/>
  <c r="F16" i="26"/>
  <c r="F34" i="26"/>
  <c r="F31" i="26"/>
  <c r="F27" i="26"/>
  <c r="F24" i="26"/>
  <c r="F21" i="26"/>
  <c r="F18" i="26"/>
  <c r="F36" i="26"/>
  <c r="F33" i="26"/>
  <c r="F29" i="26"/>
  <c r="F25" i="26"/>
  <c r="D18" i="26"/>
  <c r="F15" i="26"/>
  <c r="L12" i="26"/>
  <c r="L65" i="27"/>
  <c r="D102" i="27"/>
  <c r="L102" i="27" s="1"/>
  <c r="N16" i="29"/>
  <c r="L16" i="29"/>
  <c r="Z25" i="29"/>
  <c r="X25" i="29"/>
  <c r="Z29" i="29"/>
  <c r="X29" i="29"/>
  <c r="Z33" i="29"/>
  <c r="X33" i="29"/>
  <c r="N15" i="30"/>
  <c r="Z16" i="30"/>
  <c r="N19" i="30"/>
  <c r="Z20" i="30"/>
  <c r="N23" i="30"/>
  <c r="Z24" i="30"/>
  <c r="N40" i="30"/>
  <c r="N44" i="30"/>
  <c r="L53" i="30"/>
  <c r="N53" i="30" s="1"/>
  <c r="N93" i="30"/>
  <c r="Z99" i="30"/>
  <c r="Z102" i="30"/>
  <c r="X102" i="30"/>
  <c r="Z112" i="30"/>
  <c r="N114" i="30"/>
  <c r="R15" i="19"/>
  <c r="P18" i="19"/>
  <c r="R25" i="19"/>
  <c r="J27" i="19"/>
  <c r="R29" i="19"/>
  <c r="J31" i="19"/>
  <c r="R33" i="19"/>
  <c r="J34" i="19"/>
  <c r="R36" i="19"/>
  <c r="F16" i="20"/>
  <c r="F20" i="20"/>
  <c r="J24" i="20"/>
  <c r="V18" i="22"/>
  <c r="R24" i="22"/>
  <c r="V15" i="23"/>
  <c r="T18" i="23"/>
  <c r="R21" i="23"/>
  <c r="V25" i="23"/>
  <c r="V29" i="23"/>
  <c r="V33" i="23"/>
  <c r="V36" i="23"/>
  <c r="Z44" i="24"/>
  <c r="X56" i="24"/>
  <c r="J24" i="26"/>
  <c r="J21" i="26"/>
  <c r="J18" i="26"/>
  <c r="J36" i="26"/>
  <c r="J33" i="26"/>
  <c r="J29" i="26"/>
  <c r="J25" i="26"/>
  <c r="H18" i="26"/>
  <c r="J15" i="26"/>
  <c r="J22" i="26"/>
  <c r="N12" i="26"/>
  <c r="X25" i="26"/>
  <c r="X29" i="26"/>
  <c r="X33" i="26"/>
  <c r="D12" i="27"/>
  <c r="N16" i="27"/>
  <c r="L20" i="27"/>
  <c r="N20" i="27" s="1"/>
  <c r="Z54" i="27"/>
  <c r="N20" i="29"/>
  <c r="L20" i="29"/>
  <c r="N27" i="30"/>
  <c r="X32" i="30"/>
  <c r="Z32" i="30" s="1"/>
  <c r="X40" i="30"/>
  <c r="X48" i="30"/>
  <c r="N78" i="30"/>
  <c r="Z134" i="30"/>
  <c r="X134" i="30"/>
  <c r="Z138" i="30"/>
  <c r="N20" i="31"/>
  <c r="L20" i="31"/>
  <c r="N47" i="36"/>
  <c r="J36" i="41"/>
  <c r="J33" i="41"/>
  <c r="J29" i="41"/>
  <c r="J25" i="41"/>
  <c r="H18" i="41"/>
  <c r="J15" i="41"/>
  <c r="J34" i="41"/>
  <c r="J31" i="41"/>
  <c r="J27" i="41"/>
  <c r="J20" i="41"/>
  <c r="J18" i="41"/>
  <c r="J16" i="41"/>
  <c r="J24" i="41"/>
  <c r="N12" i="41"/>
  <c r="J22" i="41"/>
  <c r="J21" i="41"/>
  <c r="J16" i="19"/>
  <c r="J20" i="19"/>
  <c r="J27" i="20"/>
  <c r="J31" i="20"/>
  <c r="J34" i="20"/>
  <c r="D12" i="21"/>
  <c r="R27" i="22"/>
  <c r="R31" i="22"/>
  <c r="R34" i="22"/>
  <c r="P12" i="27"/>
  <c r="X16" i="27"/>
  <c r="N65" i="27"/>
  <c r="X104" i="27"/>
  <c r="Z104" i="27" s="1"/>
  <c r="T12" i="30"/>
  <c r="Z15" i="30"/>
  <c r="Z40" i="30"/>
  <c r="N51" i="30"/>
  <c r="L104" i="30"/>
  <c r="N104" i="30" s="1"/>
  <c r="Z114" i="30"/>
  <c r="X114" i="30"/>
  <c r="N117" i="30"/>
  <c r="L117" i="30"/>
  <c r="J34" i="35"/>
  <c r="J31" i="35"/>
  <c r="J27" i="35"/>
  <c r="J24" i="35"/>
  <c r="J21" i="35"/>
  <c r="J36" i="35"/>
  <c r="J33" i="35"/>
  <c r="J29" i="35"/>
  <c r="J25" i="35"/>
  <c r="H18" i="35"/>
  <c r="J15" i="35"/>
  <c r="J22" i="35"/>
  <c r="N12" i="35"/>
  <c r="L12" i="35"/>
  <c r="J18" i="35"/>
  <c r="J16" i="35"/>
  <c r="D18" i="35"/>
  <c r="L15" i="35"/>
  <c r="P36" i="38"/>
  <c r="J16" i="20"/>
  <c r="J20" i="20"/>
  <c r="R16" i="22"/>
  <c r="R20" i="22"/>
  <c r="V24" i="22"/>
  <c r="H18" i="23"/>
  <c r="R27" i="23"/>
  <c r="R31" i="23"/>
  <c r="R34" i="23"/>
  <c r="L14" i="24"/>
  <c r="N14" i="24" s="1"/>
  <c r="X18" i="24"/>
  <c r="Z18" i="24" s="1"/>
  <c r="L22" i="24"/>
  <c r="N22" i="24" s="1"/>
  <c r="X26" i="24"/>
  <c r="Z26" i="24" s="1"/>
  <c r="L43" i="24"/>
  <c r="N43" i="24" s="1"/>
  <c r="Z76" i="24"/>
  <c r="J34" i="25"/>
  <c r="J31" i="25"/>
  <c r="J27" i="25"/>
  <c r="J24" i="25"/>
  <c r="J21" i="25"/>
  <c r="J18" i="25"/>
  <c r="J36" i="25"/>
  <c r="J33" i="25"/>
  <c r="J29" i="25"/>
  <c r="J25" i="25"/>
  <c r="H18" i="25"/>
  <c r="J15" i="25"/>
  <c r="J22" i="25"/>
  <c r="N12" i="25"/>
  <c r="J20" i="25"/>
  <c r="N15" i="27"/>
  <c r="Z16" i="27"/>
  <c r="N24" i="27"/>
  <c r="Z73" i="27"/>
  <c r="Z93" i="27"/>
  <c r="N102" i="27"/>
  <c r="X103" i="27"/>
  <c r="P102" i="27"/>
  <c r="Z15" i="28"/>
  <c r="X15" i="28"/>
  <c r="N22" i="28"/>
  <c r="L22" i="28"/>
  <c r="Z22" i="29"/>
  <c r="X22" i="29"/>
  <c r="X15" i="30"/>
  <c r="Z19" i="30"/>
  <c r="X23" i="30"/>
  <c r="Z23" i="30" s="1"/>
  <c r="L35" i="30"/>
  <c r="N35" i="30" s="1"/>
  <c r="L43" i="30"/>
  <c r="N43" i="30" s="1"/>
  <c r="L51" i="30"/>
  <c r="Z78" i="30"/>
  <c r="X78" i="30"/>
  <c r="Z22" i="31"/>
  <c r="X22" i="31"/>
  <c r="X15" i="32"/>
  <c r="P18" i="32"/>
  <c r="L223" i="18"/>
  <c r="N223" i="18" s="1"/>
  <c r="X225" i="18"/>
  <c r="Z225" i="18" s="1"/>
  <c r="N12" i="19"/>
  <c r="X15" i="19"/>
  <c r="F18" i="19"/>
  <c r="J22" i="19"/>
  <c r="R24" i="19"/>
  <c r="L12" i="20"/>
  <c r="F15" i="20"/>
  <c r="D18" i="20"/>
  <c r="L20" i="20"/>
  <c r="X22" i="20"/>
  <c r="F25" i="20"/>
  <c r="F29" i="20"/>
  <c r="F33" i="20"/>
  <c r="F36" i="20"/>
  <c r="X30" i="21"/>
  <c r="L52" i="21"/>
  <c r="N52" i="21" s="1"/>
  <c r="X58" i="21"/>
  <c r="Z58" i="21" s="1"/>
  <c r="L60" i="21"/>
  <c r="N60" i="21" s="1"/>
  <c r="X12" i="22"/>
  <c r="X24" i="22"/>
  <c r="V27" i="22"/>
  <c r="V31" i="22"/>
  <c r="V34" i="22"/>
  <c r="L15" i="23"/>
  <c r="R16" i="23"/>
  <c r="J18" i="23"/>
  <c r="R20" i="23"/>
  <c r="X21" i="23"/>
  <c r="V24" i="23"/>
  <c r="L25" i="23"/>
  <c r="L29" i="23"/>
  <c r="L33" i="23"/>
  <c r="X69" i="24"/>
  <c r="L12" i="25"/>
  <c r="N19" i="27"/>
  <c r="Z20" i="27"/>
  <c r="N28" i="27"/>
  <c r="N55" i="27"/>
  <c r="Z65" i="27"/>
  <c r="Z83" i="27"/>
  <c r="Z103" i="27"/>
  <c r="J34" i="28"/>
  <c r="J31" i="28"/>
  <c r="J27" i="28"/>
  <c r="J24" i="28"/>
  <c r="J21" i="28"/>
  <c r="J18" i="28"/>
  <c r="J36" i="28"/>
  <c r="J33" i="28"/>
  <c r="J29" i="28"/>
  <c r="J25" i="28"/>
  <c r="H18" i="28"/>
  <c r="J15" i="28"/>
  <c r="J22" i="28"/>
  <c r="N12" i="28"/>
  <c r="Z25" i="28"/>
  <c r="X25" i="28"/>
  <c r="Z27" i="30"/>
  <c r="Z31" i="30"/>
  <c r="Z47" i="30"/>
  <c r="Z16" i="32"/>
  <c r="X16" i="32"/>
  <c r="Z34" i="35"/>
  <c r="X34" i="35"/>
  <c r="Z97" i="36"/>
  <c r="J15" i="19"/>
  <c r="H18" i="19"/>
  <c r="J25" i="19"/>
  <c r="R27" i="19"/>
  <c r="J29" i="19"/>
  <c r="R31" i="19"/>
  <c r="J33" i="19"/>
  <c r="N12" i="20"/>
  <c r="Z12" i="22"/>
  <c r="V16" i="22"/>
  <c r="V27" i="23"/>
  <c r="V31" i="23"/>
  <c r="L62" i="24"/>
  <c r="Z72" i="24"/>
  <c r="X25" i="25"/>
  <c r="J20" i="26"/>
  <c r="X22" i="26"/>
  <c r="T12" i="27"/>
  <c r="Z15" i="27"/>
  <c r="L19" i="27"/>
  <c r="Z24" i="27"/>
  <c r="N32" i="27"/>
  <c r="X55" i="27"/>
  <c r="N85" i="27"/>
  <c r="Z99" i="27"/>
  <c r="L12" i="28"/>
  <c r="Z29" i="28"/>
  <c r="X29" i="28"/>
  <c r="X33" i="28"/>
  <c r="Z15" i="29"/>
  <c r="X15" i="29"/>
  <c r="L20" i="30"/>
  <c r="N20" i="30" s="1"/>
  <c r="X31" i="30"/>
  <c r="Z35" i="30"/>
  <c r="X39" i="30"/>
  <c r="Z43" i="30"/>
  <c r="X47" i="30"/>
  <c r="Z51" i="30"/>
  <c r="Z77" i="30"/>
  <c r="Z97" i="30"/>
  <c r="N99" i="30"/>
  <c r="N112" i="30"/>
  <c r="L120" i="30"/>
  <c r="N120" i="30" s="1"/>
  <c r="N139" i="30"/>
  <c r="L139" i="30"/>
  <c r="N16" i="31"/>
  <c r="L16" i="31"/>
  <c r="X14" i="33"/>
  <c r="Z14" i="33" s="1"/>
  <c r="P12" i="33"/>
  <c r="F18" i="25"/>
  <c r="V18" i="25"/>
  <c r="R24" i="25"/>
  <c r="V15" i="26"/>
  <c r="T18" i="26"/>
  <c r="R21" i="26"/>
  <c r="V25" i="26"/>
  <c r="V29" i="26"/>
  <c r="V33" i="26"/>
  <c r="V36" i="26"/>
  <c r="F18" i="28"/>
  <c r="V18" i="28"/>
  <c r="R24" i="28"/>
  <c r="V15" i="29"/>
  <c r="T18" i="29"/>
  <c r="R21" i="29"/>
  <c r="V25" i="29"/>
  <c r="V29" i="29"/>
  <c r="V33" i="29"/>
  <c r="V36" i="29"/>
  <c r="J16" i="31"/>
  <c r="J20" i="31"/>
  <c r="F24" i="32"/>
  <c r="F22" i="32"/>
  <c r="T12" i="33"/>
  <c r="Z31" i="33"/>
  <c r="Z16" i="34"/>
  <c r="X16" i="34"/>
  <c r="N21" i="35"/>
  <c r="L21" i="35"/>
  <c r="V103" i="36"/>
  <c r="V93" i="36"/>
  <c r="V85" i="36"/>
  <c r="V77" i="36"/>
  <c r="V73" i="36"/>
  <c r="V69" i="36"/>
  <c r="V61" i="36"/>
  <c r="V53" i="36"/>
  <c r="V49" i="36"/>
  <c r="V41" i="36"/>
  <c r="V29" i="36"/>
  <c r="V25" i="36"/>
  <c r="V21" i="36"/>
  <c r="V96" i="36"/>
  <c r="V92" i="36"/>
  <c r="V84" i="36"/>
  <c r="V80" i="36"/>
  <c r="V76" i="36"/>
  <c r="V72" i="36"/>
  <c r="V68" i="36"/>
  <c r="V60" i="36"/>
  <c r="V52" i="36"/>
  <c r="V44" i="36"/>
  <c r="V40" i="36"/>
  <c r="V28" i="36"/>
  <c r="V20" i="36"/>
  <c r="V101" i="36"/>
  <c r="V95" i="36"/>
  <c r="V83" i="36"/>
  <c r="V79" i="36"/>
  <c r="V75" i="36"/>
  <c r="V71" i="36"/>
  <c r="V63" i="36"/>
  <c r="V55" i="36"/>
  <c r="V43" i="36"/>
  <c r="V39" i="36"/>
  <c r="V35" i="36"/>
  <c r="V27" i="36"/>
  <c r="V19" i="36"/>
  <c r="V107" i="36"/>
  <c r="V97" i="36"/>
  <c r="V89" i="36"/>
  <c r="V81" i="36"/>
  <c r="V65" i="36"/>
  <c r="V57" i="36"/>
  <c r="V45" i="36"/>
  <c r="V37" i="36"/>
  <c r="V33" i="36"/>
  <c r="V102" i="36"/>
  <c r="V88" i="36"/>
  <c r="V64" i="36"/>
  <c r="V56" i="36"/>
  <c r="V48" i="36"/>
  <c r="V36" i="36"/>
  <c r="V32" i="36"/>
  <c r="T23" i="36"/>
  <c r="V91" i="36"/>
  <c r="V87" i="36"/>
  <c r="V67" i="36"/>
  <c r="V59" i="36"/>
  <c r="V51" i="36"/>
  <c r="V47" i="36"/>
  <c r="V31" i="36"/>
  <c r="N25" i="36"/>
  <c r="V62" i="36"/>
  <c r="V66" i="36"/>
  <c r="N16" i="37"/>
  <c r="L16" i="37"/>
  <c r="R33" i="37"/>
  <c r="L14" i="39"/>
  <c r="N14" i="39" s="1"/>
  <c r="H12" i="39"/>
  <c r="Z61" i="39"/>
  <c r="X61" i="39"/>
  <c r="N81" i="39"/>
  <c r="P18" i="40"/>
  <c r="L26" i="51"/>
  <c r="N26" i="51" s="1"/>
  <c r="X27" i="51"/>
  <c r="Z27" i="51" s="1"/>
  <c r="F21" i="25"/>
  <c r="V21" i="25"/>
  <c r="R27" i="25"/>
  <c r="R31" i="25"/>
  <c r="R34" i="25"/>
  <c r="V18" i="26"/>
  <c r="R24" i="26"/>
  <c r="F21" i="28"/>
  <c r="V21" i="28"/>
  <c r="R27" i="28"/>
  <c r="R31" i="28"/>
  <c r="R34" i="28"/>
  <c r="V18" i="29"/>
  <c r="R24" i="29"/>
  <c r="V15" i="31"/>
  <c r="T18" i="31"/>
  <c r="R21" i="31"/>
  <c r="V25" i="31"/>
  <c r="V29" i="31"/>
  <c r="V33" i="31"/>
  <c r="V36" i="31"/>
  <c r="J34" i="32"/>
  <c r="J31" i="32"/>
  <c r="J27" i="32"/>
  <c r="J16" i="32"/>
  <c r="J20" i="32"/>
  <c r="V21" i="32"/>
  <c r="R22" i="32"/>
  <c r="R24" i="32"/>
  <c r="J25" i="32"/>
  <c r="R31" i="32"/>
  <c r="X13" i="33"/>
  <c r="Z13" i="33" s="1"/>
  <c r="L15" i="33"/>
  <c r="N15" i="33" s="1"/>
  <c r="X32" i="33"/>
  <c r="Z32" i="33" s="1"/>
  <c r="N54" i="33"/>
  <c r="L54" i="33"/>
  <c r="X56" i="33"/>
  <c r="H27" i="34"/>
  <c r="L22" i="34"/>
  <c r="N24" i="34"/>
  <c r="L24" i="34"/>
  <c r="V20" i="35"/>
  <c r="V16" i="35"/>
  <c r="Z12" i="35"/>
  <c r="V34" i="35"/>
  <c r="V31" i="35"/>
  <c r="V27" i="35"/>
  <c r="X12" i="35"/>
  <c r="V21" i="35"/>
  <c r="V18" i="35"/>
  <c r="V36" i="35"/>
  <c r="V33" i="35"/>
  <c r="V29" i="35"/>
  <c r="V25" i="35"/>
  <c r="T18" i="35"/>
  <c r="V15" i="35"/>
  <c r="X16" i="36"/>
  <c r="Z16" i="36" s="1"/>
  <c r="V50" i="36"/>
  <c r="V74" i="36"/>
  <c r="Z79" i="36"/>
  <c r="N81" i="36"/>
  <c r="V82" i="36"/>
  <c r="N20" i="37"/>
  <c r="L20" i="37"/>
  <c r="R31" i="37"/>
  <c r="N23" i="39"/>
  <c r="X57" i="39"/>
  <c r="L59" i="39"/>
  <c r="N59" i="39" s="1"/>
  <c r="Z91" i="39"/>
  <c r="L16" i="40"/>
  <c r="R27" i="40"/>
  <c r="R29" i="40"/>
  <c r="R16" i="25"/>
  <c r="R20" i="25"/>
  <c r="F24" i="25"/>
  <c r="V24" i="25"/>
  <c r="V21" i="26"/>
  <c r="R27" i="26"/>
  <c r="R31" i="26"/>
  <c r="R34" i="26"/>
  <c r="R16" i="28"/>
  <c r="R20" i="28"/>
  <c r="F24" i="28"/>
  <c r="V24" i="28"/>
  <c r="V21" i="29"/>
  <c r="R27" i="29"/>
  <c r="R31" i="29"/>
  <c r="R34" i="29"/>
  <c r="P12" i="30"/>
  <c r="L14" i="30"/>
  <c r="N14" i="30" s="1"/>
  <c r="X18" i="30"/>
  <c r="Z18" i="30" s="1"/>
  <c r="L22" i="30"/>
  <c r="N22" i="30" s="1"/>
  <c r="X26" i="30"/>
  <c r="Z26" i="30" s="1"/>
  <c r="L30" i="30"/>
  <c r="X34" i="30"/>
  <c r="Z34" i="30" s="1"/>
  <c r="L38" i="30"/>
  <c r="X42" i="30"/>
  <c r="Z42" i="30" s="1"/>
  <c r="L46" i="30"/>
  <c r="N46" i="30" s="1"/>
  <c r="X50" i="30"/>
  <c r="Z50" i="30" s="1"/>
  <c r="J22" i="31"/>
  <c r="F15" i="32"/>
  <c r="D18" i="32"/>
  <c r="F21" i="32"/>
  <c r="V31" i="32"/>
  <c r="V36" i="32"/>
  <c r="Z56" i="33"/>
  <c r="Z74" i="33"/>
  <c r="X74" i="33"/>
  <c r="T72" i="33"/>
  <c r="D12" i="36"/>
  <c r="L13" i="36"/>
  <c r="N13" i="36" s="1"/>
  <c r="Z47" i="36"/>
  <c r="X47" i="36"/>
  <c r="L49" i="36"/>
  <c r="N49" i="36" s="1"/>
  <c r="V70" i="36"/>
  <c r="V78" i="36"/>
  <c r="V90" i="36"/>
  <c r="L100" i="36"/>
  <c r="N103" i="36"/>
  <c r="L103" i="36"/>
  <c r="H100" i="36"/>
  <c r="T12" i="39"/>
  <c r="X14" i="39"/>
  <c r="Z14" i="39" s="1"/>
  <c r="N18" i="39"/>
  <c r="L18" i="39"/>
  <c r="Z15" i="41"/>
  <c r="X15" i="41"/>
  <c r="L45" i="42"/>
  <c r="N45" i="42" s="1"/>
  <c r="J45" i="42"/>
  <c r="F27" i="25"/>
  <c r="V27" i="25"/>
  <c r="F31" i="25"/>
  <c r="V31" i="25"/>
  <c r="F34" i="25"/>
  <c r="V34" i="25"/>
  <c r="R16" i="26"/>
  <c r="R20" i="26"/>
  <c r="V24" i="26"/>
  <c r="L15" i="27"/>
  <c r="X19" i="27"/>
  <c r="Z19" i="27" s="1"/>
  <c r="L23" i="27"/>
  <c r="N23" i="27" s="1"/>
  <c r="X27" i="27"/>
  <c r="L31" i="27"/>
  <c r="F27" i="28"/>
  <c r="V27" i="28"/>
  <c r="F31" i="28"/>
  <c r="V31" i="28"/>
  <c r="F34" i="28"/>
  <c r="V34" i="28"/>
  <c r="R16" i="29"/>
  <c r="R20" i="29"/>
  <c r="V24" i="29"/>
  <c r="D137" i="30"/>
  <c r="L137" i="30" s="1"/>
  <c r="T137" i="30"/>
  <c r="J15" i="31"/>
  <c r="H18" i="31"/>
  <c r="V21" i="31"/>
  <c r="J25" i="31"/>
  <c r="R27" i="31"/>
  <c r="J29" i="31"/>
  <c r="R31" i="31"/>
  <c r="J33" i="31"/>
  <c r="R34" i="31"/>
  <c r="J36" i="31"/>
  <c r="N12" i="32"/>
  <c r="F18" i="32"/>
  <c r="V27" i="32"/>
  <c r="V33" i="32"/>
  <c r="D12" i="33"/>
  <c r="N21" i="33"/>
  <c r="L21" i="33"/>
  <c r="X19" i="36"/>
  <c r="Z19" i="36" s="1"/>
  <c r="V26" i="36"/>
  <c r="V38" i="36"/>
  <c r="V46" i="36"/>
  <c r="V54" i="36"/>
  <c r="Z81" i="36"/>
  <c r="V86" i="36"/>
  <c r="F20" i="37"/>
  <c r="F16" i="37"/>
  <c r="F34" i="37"/>
  <c r="F31" i="37"/>
  <c r="F27" i="37"/>
  <c r="F24" i="37"/>
  <c r="F18" i="37"/>
  <c r="F36" i="37"/>
  <c r="F33" i="37"/>
  <c r="F29" i="37"/>
  <c r="F25" i="37"/>
  <c r="D18" i="37"/>
  <c r="F15" i="37"/>
  <c r="L12" i="37"/>
  <c r="F22" i="37"/>
  <c r="Z23" i="39"/>
  <c r="Z33" i="39"/>
  <c r="X81" i="39"/>
  <c r="Z81" i="39" s="1"/>
  <c r="N83" i="39"/>
  <c r="L83" i="39"/>
  <c r="N101" i="39"/>
  <c r="N21" i="41"/>
  <c r="L21" i="41"/>
  <c r="H16" i="54"/>
  <c r="L14" i="54"/>
  <c r="N14" i="54"/>
  <c r="X13" i="25"/>
  <c r="F16" i="25"/>
  <c r="V16" i="25"/>
  <c r="R22" i="25"/>
  <c r="X34" i="25"/>
  <c r="X12" i="26"/>
  <c r="V27" i="26"/>
  <c r="V31" i="26"/>
  <c r="V34" i="26"/>
  <c r="T102" i="27"/>
  <c r="Z12" i="28"/>
  <c r="F16" i="28"/>
  <c r="V16" i="28"/>
  <c r="R22" i="28"/>
  <c r="X12" i="29"/>
  <c r="V27" i="29"/>
  <c r="V31" i="29"/>
  <c r="V34" i="29"/>
  <c r="R16" i="31"/>
  <c r="J18" i="31"/>
  <c r="R20" i="31"/>
  <c r="V24" i="31"/>
  <c r="R36" i="32"/>
  <c r="R33" i="32"/>
  <c r="R29" i="32"/>
  <c r="R25" i="32"/>
  <c r="J15" i="32"/>
  <c r="H18" i="32"/>
  <c r="X20" i="32"/>
  <c r="J21" i="32"/>
  <c r="V29" i="32"/>
  <c r="Z17" i="33"/>
  <c r="X17" i="33"/>
  <c r="N13" i="34"/>
  <c r="L13" i="34"/>
  <c r="X13" i="36"/>
  <c r="P12" i="36"/>
  <c r="N17" i="36"/>
  <c r="V30" i="36"/>
  <c r="Z43" i="36"/>
  <c r="N45" i="36"/>
  <c r="V98" i="36"/>
  <c r="L101" i="36"/>
  <c r="N101" i="36" s="1"/>
  <c r="Z22" i="37"/>
  <c r="X22" i="37"/>
  <c r="L15" i="39"/>
  <c r="D12" i="39"/>
  <c r="X18" i="39"/>
  <c r="Z18" i="39" s="1"/>
  <c r="N22" i="39"/>
  <c r="L22" i="39"/>
  <c r="Z59" i="39"/>
  <c r="L99" i="39"/>
  <c r="N99" i="39" s="1"/>
  <c r="F18" i="40"/>
  <c r="F36" i="40"/>
  <c r="F33" i="40"/>
  <c r="F29" i="40"/>
  <c r="F25" i="40"/>
  <c r="D18" i="40"/>
  <c r="F15" i="40"/>
  <c r="L12" i="40"/>
  <c r="F22" i="40"/>
  <c r="F20" i="40"/>
  <c r="F16" i="40"/>
  <c r="F34" i="40"/>
  <c r="F31" i="40"/>
  <c r="F27" i="40"/>
  <c r="F24" i="40"/>
  <c r="X17" i="45"/>
  <c r="Z17" i="45" s="1"/>
  <c r="L24" i="45"/>
  <c r="N24" i="45" s="1"/>
  <c r="R15" i="25"/>
  <c r="P18" i="25"/>
  <c r="R25" i="25"/>
  <c r="R29" i="25"/>
  <c r="R33" i="25"/>
  <c r="Z12" i="26"/>
  <c r="V16" i="26"/>
  <c r="R15" i="28"/>
  <c r="P18" i="28"/>
  <c r="R25" i="28"/>
  <c r="R29" i="28"/>
  <c r="R33" i="28"/>
  <c r="Z12" i="29"/>
  <c r="V16" i="29"/>
  <c r="H137" i="30"/>
  <c r="N137" i="30" s="1"/>
  <c r="V27" i="31"/>
  <c r="V31" i="31"/>
  <c r="V24" i="32"/>
  <c r="V22" i="32"/>
  <c r="R16" i="32"/>
  <c r="J18" i="32"/>
  <c r="R20" i="32"/>
  <c r="L24" i="32"/>
  <c r="V25" i="32"/>
  <c r="F33" i="32"/>
  <c r="L34" i="32"/>
  <c r="L13" i="33"/>
  <c r="H12" i="33"/>
  <c r="L14" i="33"/>
  <c r="N14" i="33" s="1"/>
  <c r="Z21" i="33"/>
  <c r="L72" i="33"/>
  <c r="N72" i="33" s="1"/>
  <c r="Z20" i="34"/>
  <c r="X20" i="34"/>
  <c r="X24" i="34"/>
  <c r="V22" i="35"/>
  <c r="Z13" i="36"/>
  <c r="V42" i="36"/>
  <c r="N97" i="36"/>
  <c r="X101" i="36"/>
  <c r="Z101" i="36" s="1"/>
  <c r="X103" i="36"/>
  <c r="Z103" i="36" s="1"/>
  <c r="R22" i="37"/>
  <c r="X12" i="37"/>
  <c r="R20" i="37"/>
  <c r="R16" i="37"/>
  <c r="R24" i="37"/>
  <c r="R21" i="37"/>
  <c r="R18" i="37"/>
  <c r="R29" i="37"/>
  <c r="R36" i="37"/>
  <c r="N61" i="39"/>
  <c r="X93" i="39"/>
  <c r="Z93" i="39" s="1"/>
  <c r="N95" i="39"/>
  <c r="L95" i="39"/>
  <c r="Z101" i="39"/>
  <c r="R15" i="40"/>
  <c r="Z24" i="40"/>
  <c r="X24" i="40"/>
  <c r="R25" i="40"/>
  <c r="R31" i="40"/>
  <c r="R33" i="40"/>
  <c r="T100" i="36"/>
  <c r="X100" i="36" s="1"/>
  <c r="R27" i="37"/>
  <c r="L33" i="38"/>
  <c r="N34" i="38"/>
  <c r="L34" i="38"/>
  <c r="P12" i="39"/>
  <c r="X15" i="39"/>
  <c r="Z22" i="39"/>
  <c r="X22" i="39"/>
  <c r="L91" i="39"/>
  <c r="N91" i="39" s="1"/>
  <c r="T98" i="39"/>
  <c r="X99" i="39"/>
  <c r="Z99" i="39" s="1"/>
  <c r="R24" i="40"/>
  <c r="R21" i="40"/>
  <c r="R18" i="40"/>
  <c r="R36" i="40"/>
  <c r="R22" i="40"/>
  <c r="X12" i="40"/>
  <c r="R20" i="40"/>
  <c r="R16" i="40"/>
  <c r="R24" i="43"/>
  <c r="R21" i="43"/>
  <c r="R18" i="43"/>
  <c r="R36" i="43"/>
  <c r="R33" i="43"/>
  <c r="R29" i="43"/>
  <c r="R25" i="43"/>
  <c r="P18" i="43"/>
  <c r="R15" i="43"/>
  <c r="R22" i="43"/>
  <c r="X12" i="43"/>
  <c r="R31" i="43"/>
  <c r="R20" i="43"/>
  <c r="R34" i="43"/>
  <c r="R16" i="43"/>
  <c r="R27" i="43"/>
  <c r="Z24" i="44"/>
  <c r="X24" i="44"/>
  <c r="R90" i="45"/>
  <c r="R84" i="45"/>
  <c r="R72" i="45"/>
  <c r="R68" i="45"/>
  <c r="R64" i="45"/>
  <c r="R60" i="45"/>
  <c r="R57" i="45"/>
  <c r="R52" i="45"/>
  <c r="R49" i="45"/>
  <c r="R44" i="45"/>
  <c r="R41" i="45"/>
  <c r="R36" i="45"/>
  <c r="R32" i="45"/>
  <c r="R17" i="45"/>
  <c r="R83" i="45"/>
  <c r="R80" i="45"/>
  <c r="R71" i="45"/>
  <c r="R67" i="45"/>
  <c r="R63" i="45"/>
  <c r="R35" i="45"/>
  <c r="R31" i="45"/>
  <c r="R24" i="45"/>
  <c r="R70" i="45"/>
  <c r="R66" i="45"/>
  <c r="R62" i="45"/>
  <c r="R59" i="45"/>
  <c r="R54" i="45"/>
  <c r="R51" i="45"/>
  <c r="R46" i="45"/>
  <c r="R43" i="45"/>
  <c r="R30" i="45"/>
  <c r="R21" i="45"/>
  <c r="R82" i="45"/>
  <c r="R77" i="45"/>
  <c r="R34" i="45"/>
  <c r="R29" i="45"/>
  <c r="P21" i="45"/>
  <c r="R76" i="45"/>
  <c r="R69" i="45"/>
  <c r="R65" i="45"/>
  <c r="R61" i="45"/>
  <c r="R56" i="45"/>
  <c r="R53" i="45"/>
  <c r="R48" i="45"/>
  <c r="R45" i="45"/>
  <c r="R40" i="45"/>
  <c r="R28" i="45"/>
  <c r="R86" i="45"/>
  <c r="R79" i="45"/>
  <c r="R75" i="45"/>
  <c r="R39" i="45"/>
  <c r="R27" i="45"/>
  <c r="R19" i="45"/>
  <c r="R74" i="45"/>
  <c r="R58" i="45"/>
  <c r="R55" i="45"/>
  <c r="R50" i="45"/>
  <c r="R47" i="45"/>
  <c r="R42" i="45"/>
  <c r="R38" i="45"/>
  <c r="R33" i="45"/>
  <c r="R25" i="45"/>
  <c r="R81" i="45"/>
  <c r="R78" i="45"/>
  <c r="R26" i="45"/>
  <c r="R18" i="45"/>
  <c r="R37" i="45"/>
  <c r="R23" i="45"/>
  <c r="R73" i="45"/>
  <c r="J16" i="37"/>
  <c r="J20" i="37"/>
  <c r="V24" i="40"/>
  <c r="X29" i="41"/>
  <c r="P12" i="42"/>
  <c r="X13" i="42"/>
  <c r="N41" i="42"/>
  <c r="V18" i="43"/>
  <c r="V36" i="43"/>
  <c r="V33" i="43"/>
  <c r="V29" i="43"/>
  <c r="V25" i="43"/>
  <c r="T18" i="43"/>
  <c r="V15" i="43"/>
  <c r="V22" i="43"/>
  <c r="V20" i="43"/>
  <c r="V16" i="43"/>
  <c r="Z12" i="43"/>
  <c r="V34" i="43"/>
  <c r="V31" i="43"/>
  <c r="V27" i="43"/>
  <c r="R21" i="44"/>
  <c r="R18" i="44"/>
  <c r="R36" i="44"/>
  <c r="R33" i="44"/>
  <c r="R29" i="44"/>
  <c r="R25" i="44"/>
  <c r="P18" i="44"/>
  <c r="R15" i="44"/>
  <c r="R22" i="44"/>
  <c r="X12" i="44"/>
  <c r="R20" i="44"/>
  <c r="R16" i="44"/>
  <c r="N15" i="45"/>
  <c r="N23" i="45"/>
  <c r="N27" i="50"/>
  <c r="F21" i="34"/>
  <c r="V21" i="34"/>
  <c r="J25" i="34"/>
  <c r="R27" i="34"/>
  <c r="J29" i="34"/>
  <c r="R31" i="34"/>
  <c r="J33" i="34"/>
  <c r="R34" i="34"/>
  <c r="J36" i="34"/>
  <c r="V15" i="37"/>
  <c r="T18" i="37"/>
  <c r="V25" i="37"/>
  <c r="V29" i="37"/>
  <c r="V33" i="37"/>
  <c r="V36" i="37"/>
  <c r="J16" i="38"/>
  <c r="R18" i="38"/>
  <c r="J20" i="38"/>
  <c r="F22" i="38"/>
  <c r="V27" i="40"/>
  <c r="V31" i="40"/>
  <c r="V34" i="40"/>
  <c r="Z13" i="42"/>
  <c r="L17" i="42"/>
  <c r="N17" i="42" s="1"/>
  <c r="X83" i="42"/>
  <c r="Z83" i="42" s="1"/>
  <c r="L89" i="42"/>
  <c r="D88" i="42"/>
  <c r="R27" i="44"/>
  <c r="D12" i="45"/>
  <c r="Z49" i="45"/>
  <c r="Z69" i="45"/>
  <c r="P62" i="58"/>
  <c r="R16" i="34"/>
  <c r="J18" i="34"/>
  <c r="R20" i="34"/>
  <c r="F24" i="34"/>
  <c r="V24" i="34"/>
  <c r="F21" i="35"/>
  <c r="R27" i="35"/>
  <c r="R31" i="35"/>
  <c r="R34" i="35"/>
  <c r="N12" i="37"/>
  <c r="V18" i="37"/>
  <c r="J22" i="37"/>
  <c r="L12" i="38"/>
  <c r="F15" i="38"/>
  <c r="V15" i="38"/>
  <c r="D18" i="38"/>
  <c r="T18" i="38"/>
  <c r="R21" i="38"/>
  <c r="F25" i="38"/>
  <c r="V25" i="38"/>
  <c r="F29" i="38"/>
  <c r="V29" i="38"/>
  <c r="F33" i="38"/>
  <c r="V33" i="38"/>
  <c r="F36" i="38"/>
  <c r="V36" i="38"/>
  <c r="Z12" i="40"/>
  <c r="V16" i="40"/>
  <c r="V20" i="40"/>
  <c r="J24" i="40"/>
  <c r="F21" i="41"/>
  <c r="F36" i="41"/>
  <c r="F33" i="41"/>
  <c r="F29" i="41"/>
  <c r="F25" i="41"/>
  <c r="D18" i="41"/>
  <c r="F15" i="41"/>
  <c r="L12" i="41"/>
  <c r="V16" i="41"/>
  <c r="F24" i="41"/>
  <c r="J17" i="42"/>
  <c r="Z50" i="42"/>
  <c r="N52" i="42"/>
  <c r="X71" i="42"/>
  <c r="Z71" i="42" s="1"/>
  <c r="N91" i="42"/>
  <c r="N21" i="43"/>
  <c r="L21" i="43"/>
  <c r="N25" i="44"/>
  <c r="L25" i="44"/>
  <c r="R31" i="44"/>
  <c r="H12" i="45"/>
  <c r="N14" i="45"/>
  <c r="Z15" i="45"/>
  <c r="L15" i="46"/>
  <c r="Z34" i="41"/>
  <c r="X34" i="41"/>
  <c r="T12" i="42"/>
  <c r="Z41" i="42"/>
  <c r="N43" i="42"/>
  <c r="Z60" i="42"/>
  <c r="X60" i="42"/>
  <c r="L62" i="42"/>
  <c r="N62" i="42" s="1"/>
  <c r="L85" i="42"/>
  <c r="N85" i="42" s="1"/>
  <c r="N89" i="42"/>
  <c r="N29" i="44"/>
  <c r="L29" i="44"/>
  <c r="Z23" i="45"/>
  <c r="N15" i="46"/>
  <c r="H18" i="46"/>
  <c r="Z20" i="47"/>
  <c r="X20" i="47"/>
  <c r="N34" i="52"/>
  <c r="L34" i="52"/>
  <c r="F16" i="34"/>
  <c r="F20" i="34"/>
  <c r="R22" i="34"/>
  <c r="J24" i="34"/>
  <c r="F27" i="35"/>
  <c r="F31" i="35"/>
  <c r="J18" i="37"/>
  <c r="V24" i="37"/>
  <c r="J15" i="38"/>
  <c r="H18" i="38"/>
  <c r="F21" i="38"/>
  <c r="J25" i="38"/>
  <c r="R27" i="38"/>
  <c r="J29" i="38"/>
  <c r="R31" i="38"/>
  <c r="J33" i="38"/>
  <c r="R34" i="38"/>
  <c r="J36" i="38"/>
  <c r="H98" i="39"/>
  <c r="J16" i="40"/>
  <c r="J20" i="40"/>
  <c r="V22" i="40"/>
  <c r="V36" i="40"/>
  <c r="X21" i="41"/>
  <c r="N33" i="42"/>
  <c r="L66" i="42"/>
  <c r="N66" i="42" s="1"/>
  <c r="L73" i="42"/>
  <c r="N73" i="42" s="1"/>
  <c r="Z24" i="43"/>
  <c r="X24" i="43"/>
  <c r="N15" i="44"/>
  <c r="L15" i="44"/>
  <c r="H18" i="44"/>
  <c r="Z21" i="44"/>
  <c r="X21" i="44"/>
  <c r="N33" i="44"/>
  <c r="L33" i="44"/>
  <c r="J21" i="37"/>
  <c r="V27" i="37"/>
  <c r="V31" i="37"/>
  <c r="V34" i="37"/>
  <c r="R16" i="38"/>
  <c r="J18" i="38"/>
  <c r="R20" i="38"/>
  <c r="F24" i="38"/>
  <c r="V24" i="38"/>
  <c r="V15" i="40"/>
  <c r="T18" i="40"/>
  <c r="V25" i="40"/>
  <c r="V29" i="40"/>
  <c r="V33" i="40"/>
  <c r="N24" i="41"/>
  <c r="N23" i="42"/>
  <c r="Z43" i="42"/>
  <c r="X43" i="42"/>
  <c r="Z52" i="42"/>
  <c r="L54" i="42"/>
  <c r="N54" i="42" s="1"/>
  <c r="T88" i="42"/>
  <c r="X89" i="42"/>
  <c r="Z89" i="42" s="1"/>
  <c r="V24" i="43"/>
  <c r="Z34" i="43"/>
  <c r="X34" i="43"/>
  <c r="R34" i="44"/>
  <c r="N17" i="45"/>
  <c r="Z57" i="45"/>
  <c r="N59" i="45"/>
  <c r="J16" i="34"/>
  <c r="R15" i="35"/>
  <c r="P18" i="35"/>
  <c r="R25" i="35"/>
  <c r="R29" i="35"/>
  <c r="R33" i="35"/>
  <c r="Z12" i="37"/>
  <c r="V16" i="37"/>
  <c r="F27" i="38"/>
  <c r="V27" i="38"/>
  <c r="F31" i="38"/>
  <c r="V31" i="38"/>
  <c r="N12" i="40"/>
  <c r="V21" i="41"/>
  <c r="V36" i="41"/>
  <c r="V33" i="41"/>
  <c r="V29" i="41"/>
  <c r="V25" i="41"/>
  <c r="T18" i="41"/>
  <c r="V15" i="41"/>
  <c r="X23" i="42"/>
  <c r="Z23" i="42" s="1"/>
  <c r="Z81" i="42"/>
  <c r="V21" i="43"/>
  <c r="R24" i="44"/>
  <c r="Z41" i="45"/>
  <c r="N43" i="45"/>
  <c r="Z65" i="45"/>
  <c r="V21" i="49"/>
  <c r="V18" i="49"/>
  <c r="V36" i="49"/>
  <c r="V33" i="49"/>
  <c r="V29" i="49"/>
  <c r="V25" i="49"/>
  <c r="T18" i="49"/>
  <c r="V15" i="49"/>
  <c r="V22" i="49"/>
  <c r="V20" i="49"/>
  <c r="V16" i="49"/>
  <c r="Z12" i="49"/>
  <c r="V34" i="49"/>
  <c r="V31" i="49"/>
  <c r="V27" i="49"/>
  <c r="X12" i="49"/>
  <c r="V24" i="49"/>
  <c r="Z73" i="51"/>
  <c r="X73" i="51"/>
  <c r="D26" i="54"/>
  <c r="Z13" i="47"/>
  <c r="X13" i="47"/>
  <c r="F48" i="48"/>
  <c r="F43" i="48"/>
  <c r="F32" i="48"/>
  <c r="F28" i="48"/>
  <c r="F19" i="48"/>
  <c r="F15" i="48"/>
  <c r="L12" i="48"/>
  <c r="N12" i="48" s="1"/>
  <c r="F51" i="48"/>
  <c r="F39" i="48"/>
  <c r="F31" i="48"/>
  <c r="F27" i="48"/>
  <c r="F55" i="48"/>
  <c r="F45" i="48"/>
  <c r="F42" i="48"/>
  <c r="F30" i="48"/>
  <c r="F26" i="48"/>
  <c r="F53" i="48"/>
  <c r="F41" i="48"/>
  <c r="F36" i="48"/>
  <c r="F25" i="48"/>
  <c r="F20" i="48"/>
  <c r="F56" i="48"/>
  <c r="F50" i="48"/>
  <c r="F38" i="48"/>
  <c r="F35" i="48"/>
  <c r="F23" i="48"/>
  <c r="D17" i="48"/>
  <c r="F60" i="48"/>
  <c r="F46" i="48"/>
  <c r="F34" i="48"/>
  <c r="F29" i="48"/>
  <c r="F22" i="48"/>
  <c r="F24" i="48"/>
  <c r="F33" i="48"/>
  <c r="D12" i="51"/>
  <c r="L16" i="51"/>
  <c r="N16" i="51" s="1"/>
  <c r="R24" i="52"/>
  <c r="R21" i="52"/>
  <c r="R18" i="52"/>
  <c r="R36" i="52"/>
  <c r="R33" i="52"/>
  <c r="R29" i="52"/>
  <c r="R25" i="52"/>
  <c r="P18" i="52"/>
  <c r="R15" i="52"/>
  <c r="X12" i="52"/>
  <c r="R20" i="52"/>
  <c r="R16" i="52"/>
  <c r="Z39" i="56"/>
  <c r="Z50" i="57"/>
  <c r="J31" i="60"/>
  <c r="J23" i="60"/>
  <c r="H16" i="60"/>
  <c r="J34" i="60"/>
  <c r="J28" i="60"/>
  <c r="J22" i="60"/>
  <c r="J47" i="60"/>
  <c r="J41" i="60"/>
  <c r="J37" i="60"/>
  <c r="J33" i="60"/>
  <c r="J21" i="60"/>
  <c r="J36" i="60"/>
  <c r="J30" i="60"/>
  <c r="J20" i="60"/>
  <c r="J18" i="60"/>
  <c r="J14" i="60"/>
  <c r="N12" i="60"/>
  <c r="J38" i="60"/>
  <c r="J25" i="60"/>
  <c r="J24" i="60"/>
  <c r="J39" i="60"/>
  <c r="J26" i="60"/>
  <c r="J19" i="60"/>
  <c r="J16" i="60"/>
  <c r="J50" i="60"/>
  <c r="J45" i="60"/>
  <c r="J27" i="60"/>
  <c r="J32" i="60"/>
  <c r="J29" i="60"/>
  <c r="J43" i="60"/>
  <c r="J35" i="60"/>
  <c r="L12" i="60"/>
  <c r="J32" i="42"/>
  <c r="J36" i="42"/>
  <c r="J40" i="42"/>
  <c r="J54" i="42"/>
  <c r="J62" i="42"/>
  <c r="J66" i="42"/>
  <c r="J80" i="42"/>
  <c r="F27" i="43"/>
  <c r="F31" i="43"/>
  <c r="F34" i="43"/>
  <c r="J18" i="44"/>
  <c r="V24" i="44"/>
  <c r="T12" i="45"/>
  <c r="X12" i="45" s="1"/>
  <c r="V34" i="46"/>
  <c r="V31" i="46"/>
  <c r="R16" i="46"/>
  <c r="J18" i="46"/>
  <c r="R20" i="46"/>
  <c r="F24" i="46"/>
  <c r="V24" i="46"/>
  <c r="J27" i="46"/>
  <c r="F29" i="46"/>
  <c r="N24" i="47"/>
  <c r="L24" i="47"/>
  <c r="L29" i="47"/>
  <c r="N13" i="48"/>
  <c r="X20" i="48"/>
  <c r="Z20" i="48" s="1"/>
  <c r="N56" i="48"/>
  <c r="H55" i="48"/>
  <c r="X14" i="51"/>
  <c r="Z14" i="51" s="1"/>
  <c r="T12" i="51"/>
  <c r="N20" i="51"/>
  <c r="X22" i="51"/>
  <c r="Z22" i="51" s="1"/>
  <c r="R42" i="51"/>
  <c r="R45" i="51"/>
  <c r="R50" i="51"/>
  <c r="R70" i="51"/>
  <c r="R82" i="51"/>
  <c r="R22" i="52"/>
  <c r="Z24" i="52"/>
  <c r="R34" i="52"/>
  <c r="V29" i="54"/>
  <c r="Z16" i="55"/>
  <c r="H16" i="56"/>
  <c r="Z28" i="56"/>
  <c r="J37" i="56"/>
  <c r="N41" i="56"/>
  <c r="Z52" i="56"/>
  <c r="X19" i="57"/>
  <c r="Z19" i="57" s="1"/>
  <c r="F26" i="57"/>
  <c r="V30" i="57"/>
  <c r="N52" i="57"/>
  <c r="L18" i="58"/>
  <c r="N18" i="58" s="1"/>
  <c r="R25" i="41"/>
  <c r="R29" i="41"/>
  <c r="R33" i="41"/>
  <c r="R36" i="41"/>
  <c r="D12" i="42"/>
  <c r="J23" i="42"/>
  <c r="J25" i="42"/>
  <c r="J37" i="42"/>
  <c r="J43" i="42"/>
  <c r="J49" i="42"/>
  <c r="J57" i="42"/>
  <c r="J71" i="42"/>
  <c r="J83" i="42"/>
  <c r="J89" i="42"/>
  <c r="J95" i="42"/>
  <c r="F16" i="43"/>
  <c r="F20" i="43"/>
  <c r="J24" i="43"/>
  <c r="J21" i="44"/>
  <c r="F27" i="44"/>
  <c r="V27" i="44"/>
  <c r="F31" i="44"/>
  <c r="V31" i="44"/>
  <c r="F34" i="44"/>
  <c r="V34" i="44"/>
  <c r="X78" i="45"/>
  <c r="Z78" i="45" s="1"/>
  <c r="L80" i="45"/>
  <c r="X12" i="46"/>
  <c r="J21" i="46"/>
  <c r="X24" i="46"/>
  <c r="L33" i="47"/>
  <c r="Z19" i="48"/>
  <c r="N38" i="48"/>
  <c r="L38" i="48"/>
  <c r="Z43" i="48"/>
  <c r="L50" i="48"/>
  <c r="N20" i="49"/>
  <c r="L20" i="49"/>
  <c r="R24" i="50"/>
  <c r="R21" i="50"/>
  <c r="R18" i="50"/>
  <c r="R36" i="50"/>
  <c r="R33" i="50"/>
  <c r="R29" i="50"/>
  <c r="R25" i="50"/>
  <c r="P18" i="50"/>
  <c r="R15" i="50"/>
  <c r="X12" i="50"/>
  <c r="R20" i="50"/>
  <c r="R16" i="50"/>
  <c r="X24" i="50"/>
  <c r="N28" i="51"/>
  <c r="X30" i="51"/>
  <c r="Z30" i="51" s="1"/>
  <c r="Z50" i="51"/>
  <c r="R53" i="51"/>
  <c r="N61" i="51"/>
  <c r="R62" i="51"/>
  <c r="X78" i="51"/>
  <c r="Z78" i="51" s="1"/>
  <c r="L84" i="51"/>
  <c r="N84" i="51" s="1"/>
  <c r="N15" i="53"/>
  <c r="P22" i="54"/>
  <c r="X16" i="54"/>
  <c r="R34" i="55"/>
  <c r="R28" i="55"/>
  <c r="R16" i="55"/>
  <c r="R24" i="55"/>
  <c r="R21" i="55"/>
  <c r="P16" i="55"/>
  <c r="R32" i="55"/>
  <c r="R26" i="55"/>
  <c r="R23" i="55"/>
  <c r="R25" i="55"/>
  <c r="R20" i="55"/>
  <c r="X12" i="55"/>
  <c r="L19" i="55"/>
  <c r="N19" i="55" s="1"/>
  <c r="J26" i="56"/>
  <c r="J30" i="56"/>
  <c r="X31" i="56"/>
  <c r="Z31" i="56" s="1"/>
  <c r="N35" i="56"/>
  <c r="P59" i="57"/>
  <c r="Z34" i="57"/>
  <c r="N45" i="57"/>
  <c r="Z36" i="58"/>
  <c r="Z42" i="58"/>
  <c r="J18" i="42"/>
  <c r="J26" i="42"/>
  <c r="J38" i="42"/>
  <c r="J46" i="42"/>
  <c r="J52" i="42"/>
  <c r="J60" i="42"/>
  <c r="J74" i="42"/>
  <c r="J86" i="42"/>
  <c r="R22" i="46"/>
  <c r="R25" i="46"/>
  <c r="J33" i="46"/>
  <c r="R44" i="48"/>
  <c r="R29" i="48"/>
  <c r="R24" i="48"/>
  <c r="R52" i="48"/>
  <c r="R40" i="48"/>
  <c r="R35" i="48"/>
  <c r="R23" i="48"/>
  <c r="R60" i="48"/>
  <c r="R46" i="48"/>
  <c r="R43" i="48"/>
  <c r="R34" i="48"/>
  <c r="R22" i="48"/>
  <c r="R19" i="48"/>
  <c r="R15" i="48"/>
  <c r="R49" i="48"/>
  <c r="R37" i="48"/>
  <c r="R33" i="48"/>
  <c r="R21" i="48"/>
  <c r="R51" i="48"/>
  <c r="R39" i="48"/>
  <c r="R36" i="48"/>
  <c r="R31" i="48"/>
  <c r="R27" i="48"/>
  <c r="R20" i="48"/>
  <c r="R47" i="48"/>
  <c r="R42" i="48"/>
  <c r="R30" i="48"/>
  <c r="R26" i="48"/>
  <c r="R17" i="48"/>
  <c r="F17" i="48"/>
  <c r="F21" i="48"/>
  <c r="F37" i="48"/>
  <c r="R56" i="48"/>
  <c r="R88" i="51"/>
  <c r="R85" i="51"/>
  <c r="R81" i="51"/>
  <c r="R78" i="51"/>
  <c r="R57" i="51"/>
  <c r="R41" i="51"/>
  <c r="R34" i="51"/>
  <c r="R94" i="51"/>
  <c r="R72" i="51"/>
  <c r="R69" i="51"/>
  <c r="R61" i="51"/>
  <c r="R56" i="51"/>
  <c r="P48" i="51"/>
  <c r="R40" i="51"/>
  <c r="R84" i="51"/>
  <c r="R80" i="51"/>
  <c r="R75" i="51"/>
  <c r="R55" i="51"/>
  <c r="R39" i="51"/>
  <c r="R89" i="51"/>
  <c r="R74" i="51"/>
  <c r="R71" i="51"/>
  <c r="R66" i="51"/>
  <c r="R54" i="51"/>
  <c r="R46" i="51"/>
  <c r="R38" i="51"/>
  <c r="R73" i="51"/>
  <c r="R68" i="51"/>
  <c r="R64" i="51"/>
  <c r="R60" i="51"/>
  <c r="R52" i="51"/>
  <c r="R44" i="51"/>
  <c r="R36" i="51"/>
  <c r="R90" i="51"/>
  <c r="R83" i="51"/>
  <c r="R79" i="51"/>
  <c r="R76" i="51"/>
  <c r="R63" i="51"/>
  <c r="R59" i="51"/>
  <c r="R43" i="51"/>
  <c r="R35" i="51"/>
  <c r="R58" i="51"/>
  <c r="R27" i="52"/>
  <c r="Z16" i="53"/>
  <c r="X16" i="53"/>
  <c r="Z20" i="53"/>
  <c r="X20" i="53"/>
  <c r="F45" i="57"/>
  <c r="F41" i="57"/>
  <c r="F38" i="57"/>
  <c r="F22" i="57"/>
  <c r="D16" i="57"/>
  <c r="F53" i="57"/>
  <c r="F37" i="57"/>
  <c r="F32" i="57"/>
  <c r="F28" i="57"/>
  <c r="F21" i="57"/>
  <c r="F63" i="57"/>
  <c r="F57" i="57"/>
  <c r="F47" i="57"/>
  <c r="F44" i="57"/>
  <c r="F40" i="57"/>
  <c r="F20" i="57"/>
  <c r="L12" i="57"/>
  <c r="F61" i="57"/>
  <c r="F55" i="57"/>
  <c r="F50" i="57"/>
  <c r="F43" i="57"/>
  <c r="F34" i="57"/>
  <c r="F31" i="57"/>
  <c r="F27" i="57"/>
  <c r="F18" i="57"/>
  <c r="F14" i="57"/>
  <c r="F46" i="57"/>
  <c r="F42" i="57"/>
  <c r="F30" i="57"/>
  <c r="F52" i="57"/>
  <c r="F49" i="57"/>
  <c r="F36" i="57"/>
  <c r="F33" i="57"/>
  <c r="F29" i="57"/>
  <c r="F25" i="57"/>
  <c r="F66" i="57"/>
  <c r="F59" i="57"/>
  <c r="F48" i="57"/>
  <c r="F39" i="57"/>
  <c r="F24" i="57"/>
  <c r="F19" i="57"/>
  <c r="X18" i="57"/>
  <c r="F23" i="57"/>
  <c r="V26" i="57"/>
  <c r="F54" i="57"/>
  <c r="P43" i="60"/>
  <c r="R21" i="41"/>
  <c r="J19" i="42"/>
  <c r="J27" i="42"/>
  <c r="J33" i="42"/>
  <c r="J41" i="42"/>
  <c r="J47" i="42"/>
  <c r="J55" i="42"/>
  <c r="J63" i="42"/>
  <c r="J67" i="42"/>
  <c r="J75" i="42"/>
  <c r="J81" i="42"/>
  <c r="H88" i="42"/>
  <c r="J91" i="42"/>
  <c r="J16" i="43"/>
  <c r="J20" i="43"/>
  <c r="F22" i="43"/>
  <c r="J27" i="44"/>
  <c r="J31" i="44"/>
  <c r="J34" i="44"/>
  <c r="F34" i="46"/>
  <c r="F31" i="46"/>
  <c r="R15" i="46"/>
  <c r="P18" i="46"/>
  <c r="R27" i="46"/>
  <c r="J34" i="46"/>
  <c r="J36" i="46"/>
  <c r="X21" i="47"/>
  <c r="J55" i="48"/>
  <c r="Z13" i="48"/>
  <c r="X13" i="48"/>
  <c r="T12" i="48"/>
  <c r="P17" i="48"/>
  <c r="R32" i="48"/>
  <c r="R38" i="48"/>
  <c r="N45" i="48"/>
  <c r="F21" i="49"/>
  <c r="F18" i="49"/>
  <c r="F36" i="49"/>
  <c r="F33" i="49"/>
  <c r="F29" i="49"/>
  <c r="F25" i="49"/>
  <c r="D18" i="49"/>
  <c r="F15" i="49"/>
  <c r="L12" i="49"/>
  <c r="F22" i="49"/>
  <c r="F20" i="49"/>
  <c r="F16" i="49"/>
  <c r="F34" i="49"/>
  <c r="F31" i="49"/>
  <c r="F27" i="49"/>
  <c r="R22" i="50"/>
  <c r="H12" i="51"/>
  <c r="L15" i="51"/>
  <c r="N15" i="51" s="1"/>
  <c r="Z16" i="51"/>
  <c r="L23" i="51"/>
  <c r="N23" i="51" s="1"/>
  <c r="Z24" i="51"/>
  <c r="L51" i="51"/>
  <c r="N51" i="51" s="1"/>
  <c r="N67" i="51"/>
  <c r="L67" i="51"/>
  <c r="R77" i="51"/>
  <c r="N80" i="51"/>
  <c r="V16" i="54"/>
  <c r="J52" i="56"/>
  <c r="J46" i="56"/>
  <c r="J42" i="56"/>
  <c r="J34" i="56"/>
  <c r="J28" i="56"/>
  <c r="J22" i="56"/>
  <c r="J45" i="56"/>
  <c r="J39" i="56"/>
  <c r="J31" i="56"/>
  <c r="J21" i="56"/>
  <c r="J48" i="56"/>
  <c r="J36" i="56"/>
  <c r="J20" i="56"/>
  <c r="J18" i="56"/>
  <c r="J14" i="56"/>
  <c r="N12" i="56"/>
  <c r="J61" i="56"/>
  <c r="J55" i="56"/>
  <c r="J51" i="56"/>
  <c r="J41" i="56"/>
  <c r="J33" i="56"/>
  <c r="J27" i="56"/>
  <c r="J59" i="56"/>
  <c r="J53" i="56"/>
  <c r="J47" i="56"/>
  <c r="J35" i="56"/>
  <c r="J29" i="56"/>
  <c r="J25" i="56"/>
  <c r="J19" i="56"/>
  <c r="J40" i="56"/>
  <c r="J32" i="56"/>
  <c r="J24" i="56"/>
  <c r="J16" i="56"/>
  <c r="P16" i="56"/>
  <c r="X14" i="56"/>
  <c r="J43" i="56"/>
  <c r="J44" i="56"/>
  <c r="J49" i="56"/>
  <c r="J57" i="56"/>
  <c r="Z18" i="57"/>
  <c r="F35" i="57"/>
  <c r="L35" i="60"/>
  <c r="N35" i="60"/>
  <c r="H21" i="42"/>
  <c r="J28" i="42"/>
  <c r="J44" i="42"/>
  <c r="J50" i="42"/>
  <c r="J58" i="42"/>
  <c r="J64" i="42"/>
  <c r="J68" i="42"/>
  <c r="J72" i="42"/>
  <c r="J76" i="42"/>
  <c r="J84" i="42"/>
  <c r="L12" i="43"/>
  <c r="F15" i="43"/>
  <c r="D18" i="43"/>
  <c r="F25" i="43"/>
  <c r="F29" i="43"/>
  <c r="F33" i="43"/>
  <c r="F36" i="43"/>
  <c r="J16" i="44"/>
  <c r="V22" i="44"/>
  <c r="X45" i="45"/>
  <c r="L47" i="45"/>
  <c r="N47" i="45" s="1"/>
  <c r="X53" i="45"/>
  <c r="Z53" i="45" s="1"/>
  <c r="L55" i="45"/>
  <c r="N55" i="45" s="1"/>
  <c r="X61" i="45"/>
  <c r="Z61" i="45" s="1"/>
  <c r="X65" i="45"/>
  <c r="X69" i="45"/>
  <c r="J16" i="46"/>
  <c r="R18" i="46"/>
  <c r="F22" i="46"/>
  <c r="V22" i="46"/>
  <c r="L25" i="46"/>
  <c r="V25" i="46"/>
  <c r="V27" i="46"/>
  <c r="R31" i="46"/>
  <c r="N34" i="46"/>
  <c r="F40" i="48"/>
  <c r="F44" i="48"/>
  <c r="F49" i="48"/>
  <c r="R50" i="48"/>
  <c r="R55" i="48"/>
  <c r="N31" i="51"/>
  <c r="L31" i="51"/>
  <c r="X89" i="51"/>
  <c r="P87" i="51"/>
  <c r="X87" i="51" s="1"/>
  <c r="Z87" i="51" s="1"/>
  <c r="R31" i="52"/>
  <c r="V31" i="54"/>
  <c r="V28" i="54"/>
  <c r="V24" i="54"/>
  <c r="V22" i="54"/>
  <c r="V18" i="54"/>
  <c r="V14" i="54"/>
  <c r="Z12" i="54"/>
  <c r="T16" i="54"/>
  <c r="N29" i="54"/>
  <c r="D30" i="55"/>
  <c r="R30" i="55"/>
  <c r="T34" i="55"/>
  <c r="N33" i="56"/>
  <c r="N41" i="57"/>
  <c r="Z16" i="59"/>
  <c r="T49" i="59"/>
  <c r="R27" i="41"/>
  <c r="R31" i="41"/>
  <c r="J21" i="42"/>
  <c r="J29" i="42"/>
  <c r="J39" i="42"/>
  <c r="J53" i="42"/>
  <c r="J61" i="42"/>
  <c r="J65" i="42"/>
  <c r="J69" i="42"/>
  <c r="N12" i="43"/>
  <c r="L12" i="44"/>
  <c r="F15" i="44"/>
  <c r="V15" i="44"/>
  <c r="D18" i="44"/>
  <c r="T18" i="44"/>
  <c r="F25" i="44"/>
  <c r="V25" i="44"/>
  <c r="F29" i="44"/>
  <c r="V29" i="44"/>
  <c r="F33" i="44"/>
  <c r="V33" i="44"/>
  <c r="L12" i="46"/>
  <c r="F15" i="46"/>
  <c r="V15" i="46"/>
  <c r="D18" i="46"/>
  <c r="T18" i="46"/>
  <c r="R21" i="46"/>
  <c r="F25" i="46"/>
  <c r="R29" i="46"/>
  <c r="R33" i="46"/>
  <c r="V36" i="46"/>
  <c r="Z16" i="47"/>
  <c r="X16" i="47"/>
  <c r="X12" i="48"/>
  <c r="L19" i="48"/>
  <c r="N19" i="48" s="1"/>
  <c r="R28" i="48"/>
  <c r="R41" i="48"/>
  <c r="L43" i="48"/>
  <c r="N43" i="48" s="1"/>
  <c r="Z55" i="48"/>
  <c r="L16" i="49"/>
  <c r="F24" i="49"/>
  <c r="R31" i="50"/>
  <c r="L34" i="50"/>
  <c r="Z15" i="51"/>
  <c r="L18" i="51"/>
  <c r="N18" i="51" s="1"/>
  <c r="Z19" i="51"/>
  <c r="X19" i="51"/>
  <c r="Z23" i="51"/>
  <c r="N50" i="51"/>
  <c r="R67" i="51"/>
  <c r="Z80" i="51"/>
  <c r="Z84" i="51"/>
  <c r="X13" i="53"/>
  <c r="N29" i="53"/>
  <c r="Z19" i="55"/>
  <c r="Z25" i="55"/>
  <c r="L55" i="56"/>
  <c r="J64" i="56"/>
  <c r="V49" i="57"/>
  <c r="V45" i="57"/>
  <c r="V41" i="57"/>
  <c r="V33" i="57"/>
  <c r="V29" i="57"/>
  <c r="V25" i="57"/>
  <c r="T16" i="57"/>
  <c r="V48" i="57"/>
  <c r="V32" i="57"/>
  <c r="V28" i="57"/>
  <c r="V24" i="57"/>
  <c r="V63" i="57"/>
  <c r="V57" i="57"/>
  <c r="V51" i="57"/>
  <c r="V47" i="57"/>
  <c r="V35" i="57"/>
  <c r="V23" i="57"/>
  <c r="V50" i="57"/>
  <c r="V38" i="57"/>
  <c r="V34" i="57"/>
  <c r="V22" i="57"/>
  <c r="V18" i="57"/>
  <c r="V14" i="57"/>
  <c r="V53" i="57"/>
  <c r="V37" i="57"/>
  <c r="V52" i="57"/>
  <c r="V44" i="57"/>
  <c r="V40" i="57"/>
  <c r="V36" i="57"/>
  <c r="V20" i="57"/>
  <c r="Z12" i="57"/>
  <c r="V66" i="57"/>
  <c r="V61" i="57"/>
  <c r="V59" i="57"/>
  <c r="V55" i="57"/>
  <c r="V43" i="57"/>
  <c r="V39" i="57"/>
  <c r="V31" i="57"/>
  <c r="V27" i="57"/>
  <c r="V19" i="57"/>
  <c r="X12" i="57"/>
  <c r="Z39" i="57"/>
  <c r="Z19" i="58"/>
  <c r="N29" i="58"/>
  <c r="Z38" i="58"/>
  <c r="N19" i="60"/>
  <c r="J15" i="47"/>
  <c r="H18" i="47"/>
  <c r="F21" i="47"/>
  <c r="V21" i="47"/>
  <c r="J25" i="47"/>
  <c r="R27" i="47"/>
  <c r="J29" i="47"/>
  <c r="R31" i="47"/>
  <c r="J33" i="47"/>
  <c r="R34" i="47"/>
  <c r="J36" i="47"/>
  <c r="J15" i="48"/>
  <c r="J19" i="48"/>
  <c r="J21" i="48"/>
  <c r="J33" i="48"/>
  <c r="J37" i="48"/>
  <c r="J43" i="48"/>
  <c r="J49" i="48"/>
  <c r="J21" i="49"/>
  <c r="J18" i="50"/>
  <c r="F24" i="50"/>
  <c r="V24" i="50"/>
  <c r="J18" i="52"/>
  <c r="F24" i="52"/>
  <c r="V24" i="52"/>
  <c r="J15" i="53"/>
  <c r="H18" i="53"/>
  <c r="F21" i="53"/>
  <c r="V21" i="53"/>
  <c r="J25" i="53"/>
  <c r="R27" i="53"/>
  <c r="J29" i="53"/>
  <c r="R31" i="53"/>
  <c r="J33" i="53"/>
  <c r="R34" i="53"/>
  <c r="J36" i="53"/>
  <c r="R26" i="54"/>
  <c r="R29" i="54"/>
  <c r="V16" i="55"/>
  <c r="V22" i="55"/>
  <c r="J26" i="55"/>
  <c r="F28" i="55"/>
  <c r="V28" i="55"/>
  <c r="J32" i="55"/>
  <c r="F34" i="55"/>
  <c r="V34" i="55"/>
  <c r="V36" i="56"/>
  <c r="F44" i="56"/>
  <c r="V44" i="56"/>
  <c r="R45" i="56"/>
  <c r="V48" i="56"/>
  <c r="F53" i="56"/>
  <c r="F59" i="56"/>
  <c r="J23" i="57"/>
  <c r="J35" i="57"/>
  <c r="R40" i="57"/>
  <c r="J41" i="57"/>
  <c r="R44" i="57"/>
  <c r="J45" i="57"/>
  <c r="J51" i="57"/>
  <c r="V24" i="58"/>
  <c r="J28" i="58"/>
  <c r="J32" i="58"/>
  <c r="F33" i="58"/>
  <c r="F36" i="58"/>
  <c r="V36" i="58"/>
  <c r="F39" i="58"/>
  <c r="V40" i="58"/>
  <c r="X42" i="58"/>
  <c r="J49" i="58"/>
  <c r="N55" i="58"/>
  <c r="V57" i="58"/>
  <c r="F64" i="58"/>
  <c r="V40" i="59"/>
  <c r="V36" i="59"/>
  <c r="V24" i="59"/>
  <c r="V39" i="59"/>
  <c r="V35" i="59"/>
  <c r="V23" i="59"/>
  <c r="V42" i="59"/>
  <c r="V38" i="59"/>
  <c r="V22" i="59"/>
  <c r="V18" i="59"/>
  <c r="V14" i="59"/>
  <c r="V56" i="59"/>
  <c r="V51" i="59"/>
  <c r="V49" i="59"/>
  <c r="V45" i="59"/>
  <c r="V41" i="59"/>
  <c r="V37" i="59"/>
  <c r="V21" i="59"/>
  <c r="V16" i="59"/>
  <c r="V26" i="59"/>
  <c r="V27" i="59"/>
  <c r="V30" i="59"/>
  <c r="F29" i="60"/>
  <c r="N32" i="60"/>
  <c r="F47" i="60"/>
  <c r="H51" i="61"/>
  <c r="N19" i="62"/>
  <c r="N42" i="62"/>
  <c r="R16" i="47"/>
  <c r="J18" i="47"/>
  <c r="R20" i="47"/>
  <c r="F24" i="47"/>
  <c r="V24" i="47"/>
  <c r="J22" i="48"/>
  <c r="J34" i="48"/>
  <c r="J40" i="48"/>
  <c r="J46" i="48"/>
  <c r="J52" i="48"/>
  <c r="J60" i="48"/>
  <c r="R22" i="49"/>
  <c r="J24" i="49"/>
  <c r="J21" i="50"/>
  <c r="F27" i="50"/>
  <c r="V27" i="50"/>
  <c r="F31" i="50"/>
  <c r="V31" i="50"/>
  <c r="F34" i="50"/>
  <c r="V34" i="50"/>
  <c r="J21" i="52"/>
  <c r="F27" i="52"/>
  <c r="V27" i="52"/>
  <c r="F31" i="52"/>
  <c r="V31" i="52"/>
  <c r="F34" i="52"/>
  <c r="V34" i="52"/>
  <c r="R16" i="53"/>
  <c r="J18" i="53"/>
  <c r="R20" i="53"/>
  <c r="F24" i="53"/>
  <c r="V24" i="53"/>
  <c r="H16" i="55"/>
  <c r="F19" i="55"/>
  <c r="V19" i="55"/>
  <c r="J21" i="55"/>
  <c r="F24" i="55"/>
  <c r="V21" i="56"/>
  <c r="R22" i="56"/>
  <c r="F26" i="56"/>
  <c r="F30" i="56"/>
  <c r="R31" i="56"/>
  <c r="F33" i="56"/>
  <c r="V33" i="56"/>
  <c r="R34" i="56"/>
  <c r="F38" i="56"/>
  <c r="R39" i="56"/>
  <c r="F41" i="56"/>
  <c r="V41" i="56"/>
  <c r="R42" i="56"/>
  <c r="V45" i="56"/>
  <c r="R46" i="56"/>
  <c r="F50" i="56"/>
  <c r="F55" i="56"/>
  <c r="V55" i="56"/>
  <c r="F61" i="56"/>
  <c r="V61" i="56"/>
  <c r="R14" i="57"/>
  <c r="J16" i="57"/>
  <c r="R18" i="57"/>
  <c r="R21" i="57"/>
  <c r="J24" i="57"/>
  <c r="R34" i="57"/>
  <c r="R37" i="57"/>
  <c r="J48" i="57"/>
  <c r="R50" i="57"/>
  <c r="R53" i="57"/>
  <c r="J54" i="57"/>
  <c r="H59" i="57"/>
  <c r="R51" i="58"/>
  <c r="R48" i="58"/>
  <c r="R39" i="58"/>
  <c r="R64" i="58"/>
  <c r="R69" i="58"/>
  <c r="R62" i="58"/>
  <c r="R50" i="58"/>
  <c r="R57" i="58"/>
  <c r="R44" i="58"/>
  <c r="D16" i="58"/>
  <c r="T16" i="58"/>
  <c r="R19" i="58"/>
  <c r="J21" i="58"/>
  <c r="F22" i="58"/>
  <c r="V25" i="58"/>
  <c r="R26" i="58"/>
  <c r="F29" i="58"/>
  <c r="V29" i="58"/>
  <c r="R30" i="58"/>
  <c r="J33" i="58"/>
  <c r="V37" i="58"/>
  <c r="J39" i="58"/>
  <c r="F40" i="58"/>
  <c r="R42" i="58"/>
  <c r="R43" i="58"/>
  <c r="V44" i="58"/>
  <c r="J48" i="58"/>
  <c r="R54" i="58"/>
  <c r="J55" i="58"/>
  <c r="F57" i="58"/>
  <c r="J64" i="58"/>
  <c r="R66" i="58"/>
  <c r="Z19" i="59"/>
  <c r="V20" i="59"/>
  <c r="V33" i="59"/>
  <c r="Z37" i="59"/>
  <c r="Z43" i="59"/>
  <c r="V44" i="59"/>
  <c r="L18" i="60"/>
  <c r="F27" i="60"/>
  <c r="Z19" i="61"/>
  <c r="X33" i="61"/>
  <c r="Z33" i="61" s="1"/>
  <c r="V69" i="58"/>
  <c r="V64" i="58"/>
  <c r="V62" i="58"/>
  <c r="V58" i="58"/>
  <c r="V50" i="58"/>
  <c r="V38" i="58"/>
  <c r="V47" i="58"/>
  <c r="V43" i="58"/>
  <c r="V16" i="58"/>
  <c r="V26" i="58"/>
  <c r="V30" i="58"/>
  <c r="V34" i="58"/>
  <c r="V54" i="58"/>
  <c r="Z14" i="65"/>
  <c r="X14" i="65"/>
  <c r="V16" i="47"/>
  <c r="F20" i="47"/>
  <c r="V20" i="47"/>
  <c r="J24" i="47"/>
  <c r="H17" i="48"/>
  <c r="J24" i="48"/>
  <c r="J38" i="48"/>
  <c r="J44" i="48"/>
  <c r="J50" i="48"/>
  <c r="J56" i="48"/>
  <c r="J16" i="49"/>
  <c r="J20" i="49"/>
  <c r="J27" i="50"/>
  <c r="J31" i="50"/>
  <c r="J34" i="50"/>
  <c r="J27" i="52"/>
  <c r="J31" i="52"/>
  <c r="J34" i="52"/>
  <c r="Z12" i="53"/>
  <c r="F16" i="53"/>
  <c r="V16" i="53"/>
  <c r="F20" i="53"/>
  <c r="V20" i="53"/>
  <c r="R22" i="53"/>
  <c r="J24" i="53"/>
  <c r="X12" i="54"/>
  <c r="J19" i="55"/>
  <c r="F22" i="55"/>
  <c r="F25" i="55"/>
  <c r="V25" i="55"/>
  <c r="L12" i="56"/>
  <c r="F20" i="56"/>
  <c r="V23" i="56"/>
  <c r="R24" i="56"/>
  <c r="F31" i="56"/>
  <c r="V31" i="56"/>
  <c r="R32" i="56"/>
  <c r="F36" i="56"/>
  <c r="R37" i="56"/>
  <c r="F39" i="56"/>
  <c r="V39" i="56"/>
  <c r="R40" i="56"/>
  <c r="V43" i="56"/>
  <c r="F48" i="56"/>
  <c r="R49" i="56"/>
  <c r="R57" i="56"/>
  <c r="R64" i="56"/>
  <c r="R23" i="57"/>
  <c r="J26" i="57"/>
  <c r="R28" i="57"/>
  <c r="J30" i="57"/>
  <c r="R32" i="57"/>
  <c r="R35" i="57"/>
  <c r="J36" i="57"/>
  <c r="J42" i="57"/>
  <c r="J46" i="57"/>
  <c r="R51" i="57"/>
  <c r="J52" i="57"/>
  <c r="X12" i="58"/>
  <c r="H16" i="58"/>
  <c r="F19" i="58"/>
  <c r="V19" i="58"/>
  <c r="J23" i="58"/>
  <c r="F24" i="58"/>
  <c r="V27" i="58"/>
  <c r="J29" i="58"/>
  <c r="V31" i="58"/>
  <c r="R32" i="58"/>
  <c r="V35" i="58"/>
  <c r="R38" i="58"/>
  <c r="F41" i="58"/>
  <c r="V42" i="58"/>
  <c r="Z45" i="58"/>
  <c r="V46" i="58"/>
  <c r="R49" i="58"/>
  <c r="V52" i="58"/>
  <c r="V53" i="58"/>
  <c r="R56" i="58"/>
  <c r="J57" i="58"/>
  <c r="F58" i="58"/>
  <c r="F60" i="58"/>
  <c r="J62" i="58"/>
  <c r="V66" i="58"/>
  <c r="N18" i="60"/>
  <c r="F26" i="60"/>
  <c r="Z30" i="60"/>
  <c r="V26" i="61"/>
  <c r="X23" i="66"/>
  <c r="Z23" i="66" s="1"/>
  <c r="P18" i="47"/>
  <c r="R25" i="47"/>
  <c r="J27" i="47"/>
  <c r="R29" i="47"/>
  <c r="J31" i="47"/>
  <c r="R33" i="47"/>
  <c r="J34" i="47"/>
  <c r="R36" i="47"/>
  <c r="J17" i="48"/>
  <c r="J25" i="48"/>
  <c r="J41" i="48"/>
  <c r="J47" i="48"/>
  <c r="J53" i="48"/>
  <c r="R21" i="49"/>
  <c r="J16" i="50"/>
  <c r="J20" i="50"/>
  <c r="F22" i="50"/>
  <c r="V22" i="50"/>
  <c r="J16" i="52"/>
  <c r="J20" i="52"/>
  <c r="F22" i="52"/>
  <c r="V22" i="52"/>
  <c r="R15" i="53"/>
  <c r="P18" i="53"/>
  <c r="R25" i="53"/>
  <c r="J27" i="53"/>
  <c r="R29" i="53"/>
  <c r="J31" i="53"/>
  <c r="R33" i="53"/>
  <c r="J34" i="53"/>
  <c r="R36" i="53"/>
  <c r="R18" i="54"/>
  <c r="R22" i="54"/>
  <c r="R28" i="54"/>
  <c r="R31" i="54"/>
  <c r="V14" i="55"/>
  <c r="V18" i="55"/>
  <c r="J22" i="55"/>
  <c r="V26" i="55"/>
  <c r="F30" i="55"/>
  <c r="V30" i="55"/>
  <c r="V32" i="55"/>
  <c r="F37" i="55"/>
  <c r="V37" i="55"/>
  <c r="F28" i="56"/>
  <c r="V40" i="56"/>
  <c r="F45" i="56"/>
  <c r="F52" i="56"/>
  <c r="V52" i="56"/>
  <c r="R53" i="56"/>
  <c r="R59" i="56"/>
  <c r="X14" i="57"/>
  <c r="R24" i="57"/>
  <c r="J27" i="57"/>
  <c r="J31" i="57"/>
  <c r="R41" i="57"/>
  <c r="J43" i="57"/>
  <c r="R45" i="57"/>
  <c r="R48" i="57"/>
  <c r="J55" i="57"/>
  <c r="J61" i="57"/>
  <c r="Z12" i="58"/>
  <c r="V20" i="58"/>
  <c r="J24" i="58"/>
  <c r="V28" i="58"/>
  <c r="V32" i="58"/>
  <c r="J34" i="58"/>
  <c r="F37" i="58"/>
  <c r="V39" i="58"/>
  <c r="J41" i="58"/>
  <c r="V45" i="58"/>
  <c r="V48" i="58"/>
  <c r="V49" i="58"/>
  <c r="R55" i="58"/>
  <c r="V56" i="58"/>
  <c r="J58" i="58"/>
  <c r="Z41" i="59"/>
  <c r="L43" i="59"/>
  <c r="N43" i="59" s="1"/>
  <c r="V53" i="59"/>
  <c r="L14" i="60"/>
  <c r="F20" i="60"/>
  <c r="X28" i="60"/>
  <c r="V38" i="61"/>
  <c r="V37" i="61"/>
  <c r="V29" i="61"/>
  <c r="V25" i="61"/>
  <c r="T16" i="61"/>
  <c r="V51" i="61"/>
  <c r="V46" i="61"/>
  <c r="V44" i="61"/>
  <c r="V40" i="61"/>
  <c r="V32" i="61"/>
  <c r="V28" i="61"/>
  <c r="V24" i="61"/>
  <c r="V39" i="61"/>
  <c r="V31" i="61"/>
  <c r="V27" i="61"/>
  <c r="V23" i="61"/>
  <c r="V34" i="61"/>
  <c r="V22" i="61"/>
  <c r="V18" i="61"/>
  <c r="V14" i="61"/>
  <c r="V33" i="61"/>
  <c r="V21" i="61"/>
  <c r="V35" i="61"/>
  <c r="V19" i="61"/>
  <c r="V30" i="61"/>
  <c r="V36" i="61"/>
  <c r="Z18" i="62"/>
  <c r="N30" i="62"/>
  <c r="L51" i="62"/>
  <c r="N51" i="62" s="1"/>
  <c r="N57" i="62"/>
  <c r="L57" i="62"/>
  <c r="D95" i="62"/>
  <c r="L91" i="62"/>
  <c r="J16" i="47"/>
  <c r="F22" i="47"/>
  <c r="V22" i="47"/>
  <c r="L34" i="47"/>
  <c r="J20" i="48"/>
  <c r="J26" i="48"/>
  <c r="J30" i="48"/>
  <c r="J36" i="48"/>
  <c r="J42" i="48"/>
  <c r="X45" i="48"/>
  <c r="Z45" i="48" s="1"/>
  <c r="N12" i="49"/>
  <c r="J22" i="49"/>
  <c r="R24" i="49"/>
  <c r="L12" i="50"/>
  <c r="F15" i="50"/>
  <c r="V15" i="50"/>
  <c r="D18" i="50"/>
  <c r="T18" i="50"/>
  <c r="F25" i="50"/>
  <c r="V25" i="50"/>
  <c r="F29" i="50"/>
  <c r="V29" i="50"/>
  <c r="F33" i="50"/>
  <c r="V33" i="50"/>
  <c r="F36" i="50"/>
  <c r="V36" i="50"/>
  <c r="L12" i="52"/>
  <c r="F15" i="52"/>
  <c r="V15" i="52"/>
  <c r="D18" i="52"/>
  <c r="T18" i="52"/>
  <c r="F25" i="52"/>
  <c r="V25" i="52"/>
  <c r="F29" i="52"/>
  <c r="V29" i="52"/>
  <c r="F33" i="52"/>
  <c r="V33" i="52"/>
  <c r="F36" i="52"/>
  <c r="V36" i="52"/>
  <c r="J16" i="53"/>
  <c r="R18" i="53"/>
  <c r="F22" i="53"/>
  <c r="V22" i="53"/>
  <c r="L16" i="54"/>
  <c r="L12" i="55"/>
  <c r="F20" i="55"/>
  <c r="V23" i="55"/>
  <c r="J25" i="55"/>
  <c r="D16" i="56"/>
  <c r="T16" i="56"/>
  <c r="R19" i="56"/>
  <c r="F22" i="56"/>
  <c r="V25" i="56"/>
  <c r="R26" i="56"/>
  <c r="V29" i="56"/>
  <c r="R30" i="56"/>
  <c r="F34" i="56"/>
  <c r="R35" i="56"/>
  <c r="F37" i="56"/>
  <c r="V37" i="56"/>
  <c r="R38" i="56"/>
  <c r="F42" i="56"/>
  <c r="F46" i="56"/>
  <c r="R47" i="56"/>
  <c r="F49" i="56"/>
  <c r="V49" i="56"/>
  <c r="R50" i="56"/>
  <c r="V53" i="56"/>
  <c r="F57" i="56"/>
  <c r="V57" i="56"/>
  <c r="V59" i="56"/>
  <c r="F64" i="56"/>
  <c r="V64" i="56"/>
  <c r="N12" i="57"/>
  <c r="J14" i="57"/>
  <c r="R16" i="57"/>
  <c r="J18" i="57"/>
  <c r="J20" i="57"/>
  <c r="R25" i="57"/>
  <c r="R29" i="57"/>
  <c r="R33" i="57"/>
  <c r="J34" i="57"/>
  <c r="J40" i="57"/>
  <c r="J44" i="57"/>
  <c r="X47" i="57"/>
  <c r="Z47" i="57" s="1"/>
  <c r="R49" i="57"/>
  <c r="J50" i="57"/>
  <c r="R54" i="57"/>
  <c r="X57" i="57"/>
  <c r="F69" i="58"/>
  <c r="F62" i="58"/>
  <c r="F50" i="58"/>
  <c r="F47" i="58"/>
  <c r="F43" i="58"/>
  <c r="F38" i="58"/>
  <c r="F53" i="58"/>
  <c r="F49" i="58"/>
  <c r="F56" i="58"/>
  <c r="F52" i="58"/>
  <c r="J19" i="58"/>
  <c r="V21" i="58"/>
  <c r="R22" i="58"/>
  <c r="J25" i="58"/>
  <c r="F26" i="58"/>
  <c r="F30" i="58"/>
  <c r="V33" i="58"/>
  <c r="J37" i="58"/>
  <c r="N42" i="58"/>
  <c r="F44" i="58"/>
  <c r="F45" i="58"/>
  <c r="X45" i="58"/>
  <c r="V51" i="58"/>
  <c r="H49" i="59"/>
  <c r="N16" i="59"/>
  <c r="N29" i="59"/>
  <c r="D49" i="59"/>
  <c r="F14" i="60"/>
  <c r="L19" i="60"/>
  <c r="X30" i="60"/>
  <c r="Z12" i="61"/>
  <c r="L19" i="61"/>
  <c r="N19" i="61" s="1"/>
  <c r="N44" i="61"/>
  <c r="V48" i="61"/>
  <c r="Z40" i="62"/>
  <c r="X20" i="64"/>
  <c r="P12" i="64"/>
  <c r="L12" i="47"/>
  <c r="F15" i="47"/>
  <c r="V15" i="47"/>
  <c r="D18" i="47"/>
  <c r="T18" i="47"/>
  <c r="F25" i="47"/>
  <c r="V25" i="47"/>
  <c r="F29" i="47"/>
  <c r="V29" i="47"/>
  <c r="F33" i="47"/>
  <c r="V33" i="47"/>
  <c r="J27" i="48"/>
  <c r="J31" i="48"/>
  <c r="J39" i="48"/>
  <c r="J45" i="48"/>
  <c r="J51" i="48"/>
  <c r="J15" i="49"/>
  <c r="H18" i="49"/>
  <c r="J25" i="49"/>
  <c r="R27" i="49"/>
  <c r="J29" i="49"/>
  <c r="R31" i="49"/>
  <c r="J33" i="49"/>
  <c r="N12" i="50"/>
  <c r="N12" i="52"/>
  <c r="L12" i="53"/>
  <c r="F15" i="53"/>
  <c r="V15" i="53"/>
  <c r="D18" i="53"/>
  <c r="T18" i="53"/>
  <c r="F25" i="53"/>
  <c r="V25" i="53"/>
  <c r="F29" i="53"/>
  <c r="V29" i="53"/>
  <c r="F33" i="53"/>
  <c r="V33" i="53"/>
  <c r="F14" i="54"/>
  <c r="F18" i="54"/>
  <c r="F22" i="54"/>
  <c r="F28" i="54"/>
  <c r="N12" i="55"/>
  <c r="J14" i="55"/>
  <c r="J18" i="55"/>
  <c r="J20" i="55"/>
  <c r="J30" i="55"/>
  <c r="F16" i="56"/>
  <c r="V16" i="56"/>
  <c r="F23" i="56"/>
  <c r="V26" i="56"/>
  <c r="R27" i="56"/>
  <c r="V30" i="56"/>
  <c r="V38" i="56"/>
  <c r="R44" i="56"/>
  <c r="R19" i="57"/>
  <c r="J21" i="57"/>
  <c r="R26" i="57"/>
  <c r="R30" i="57"/>
  <c r="J37" i="57"/>
  <c r="R39" i="57"/>
  <c r="R42" i="57"/>
  <c r="R46" i="57"/>
  <c r="J47" i="57"/>
  <c r="J53" i="57"/>
  <c r="J57" i="57"/>
  <c r="R59" i="57"/>
  <c r="J54" i="58"/>
  <c r="J46" i="58"/>
  <c r="J40" i="58"/>
  <c r="J66" i="58"/>
  <c r="J60" i="58"/>
  <c r="J56" i="58"/>
  <c r="J52" i="58"/>
  <c r="J51" i="58"/>
  <c r="J45" i="58"/>
  <c r="V14" i="58"/>
  <c r="V18" i="58"/>
  <c r="V22" i="58"/>
  <c r="J26" i="58"/>
  <c r="F27" i="58"/>
  <c r="J30" i="58"/>
  <c r="F31" i="58"/>
  <c r="F35" i="58"/>
  <c r="R36" i="58"/>
  <c r="R40" i="58"/>
  <c r="R41" i="58"/>
  <c r="J42" i="58"/>
  <c r="J43" i="58"/>
  <c r="J44" i="58"/>
  <c r="L48" i="58"/>
  <c r="F54" i="58"/>
  <c r="V55" i="58"/>
  <c r="X60" i="58"/>
  <c r="N19" i="59"/>
  <c r="V32" i="59"/>
  <c r="L33" i="59"/>
  <c r="N33" i="59" s="1"/>
  <c r="F50" i="60"/>
  <c r="F43" i="60"/>
  <c r="F35" i="60"/>
  <c r="F24" i="60"/>
  <c r="F19" i="60"/>
  <c r="F38" i="60"/>
  <c r="F31" i="60"/>
  <c r="F23" i="60"/>
  <c r="F16" i="60"/>
  <c r="F34" i="60"/>
  <c r="F22" i="60"/>
  <c r="D16" i="60"/>
  <c r="F37" i="60"/>
  <c r="F33" i="60"/>
  <c r="F28" i="60"/>
  <c r="F21" i="60"/>
  <c r="F45" i="60"/>
  <c r="F39" i="60"/>
  <c r="Z18" i="60"/>
  <c r="Z28" i="60"/>
  <c r="L30" i="60"/>
  <c r="N30" i="60" s="1"/>
  <c r="D48" i="61"/>
  <c r="L44" i="61"/>
  <c r="X12" i="61"/>
  <c r="R20" i="61"/>
  <c r="R33" i="61"/>
  <c r="R36" i="61"/>
  <c r="X12" i="62"/>
  <c r="H95" i="62"/>
  <c r="N91" i="62"/>
  <c r="V19" i="62"/>
  <c r="R20" i="62"/>
  <c r="V27" i="62"/>
  <c r="R28" i="62"/>
  <c r="V31" i="62"/>
  <c r="R32" i="62"/>
  <c r="V43" i="62"/>
  <c r="R49" i="62"/>
  <c r="V51" i="62"/>
  <c r="R52" i="62"/>
  <c r="N80" i="62"/>
  <c r="L80" i="62"/>
  <c r="D12" i="64"/>
  <c r="L16" i="64"/>
  <c r="N16" i="64" s="1"/>
  <c r="Z45" i="64"/>
  <c r="N50" i="64"/>
  <c r="X18" i="65"/>
  <c r="Z18" i="65" s="1"/>
  <c r="X15" i="66"/>
  <c r="Z15" i="66" s="1"/>
  <c r="F59" i="66"/>
  <c r="Z77" i="66"/>
  <c r="J19" i="59"/>
  <c r="J25" i="59"/>
  <c r="F26" i="59"/>
  <c r="F30" i="59"/>
  <c r="F34" i="59"/>
  <c r="F37" i="59"/>
  <c r="F41" i="59"/>
  <c r="J43" i="59"/>
  <c r="F49" i="59"/>
  <c r="F56" i="59"/>
  <c r="R16" i="60"/>
  <c r="V24" i="60"/>
  <c r="R25" i="60"/>
  <c r="V28" i="60"/>
  <c r="R29" i="60"/>
  <c r="R38" i="60"/>
  <c r="L16" i="61"/>
  <c r="J19" i="61"/>
  <c r="R22" i="61"/>
  <c r="J25" i="61"/>
  <c r="F26" i="61"/>
  <c r="R27" i="61"/>
  <c r="J29" i="61"/>
  <c r="F30" i="61"/>
  <c r="R31" i="61"/>
  <c r="F33" i="61"/>
  <c r="R34" i="61"/>
  <c r="J35" i="61"/>
  <c r="F38" i="61"/>
  <c r="R39" i="61"/>
  <c r="F80" i="62"/>
  <c r="F77" i="62"/>
  <c r="F72" i="62"/>
  <c r="F69" i="62"/>
  <c r="F65" i="62"/>
  <c r="F95" i="62"/>
  <c r="F89" i="62"/>
  <c r="F76" i="62"/>
  <c r="F68" i="62"/>
  <c r="F64" i="62"/>
  <c r="F60" i="62"/>
  <c r="F93" i="62"/>
  <c r="F82" i="62"/>
  <c r="F79" i="62"/>
  <c r="F75" i="62"/>
  <c r="F71" i="62"/>
  <c r="F67" i="62"/>
  <c r="F63" i="62"/>
  <c r="F85" i="62"/>
  <c r="F81" i="62"/>
  <c r="F73" i="62"/>
  <c r="F98" i="62"/>
  <c r="F91" i="62"/>
  <c r="F84" i="62"/>
  <c r="F59" i="62"/>
  <c r="F56" i="62"/>
  <c r="J19" i="62"/>
  <c r="V21" i="62"/>
  <c r="R22" i="62"/>
  <c r="J25" i="62"/>
  <c r="F26" i="62"/>
  <c r="V29" i="62"/>
  <c r="V33" i="62"/>
  <c r="R34" i="62"/>
  <c r="J37" i="62"/>
  <c r="V41" i="62"/>
  <c r="J45" i="62"/>
  <c r="F46" i="62"/>
  <c r="R47" i="62"/>
  <c r="F49" i="62"/>
  <c r="V49" i="62"/>
  <c r="R50" i="62"/>
  <c r="J51" i="62"/>
  <c r="F54" i="62"/>
  <c r="R55" i="62"/>
  <c r="R56" i="62"/>
  <c r="Z61" i="62"/>
  <c r="V62" i="62"/>
  <c r="Z66" i="62"/>
  <c r="F78" i="62"/>
  <c r="V81" i="62"/>
  <c r="Z82" i="62"/>
  <c r="N89" i="62"/>
  <c r="R91" i="62"/>
  <c r="J27" i="63"/>
  <c r="J19" i="63"/>
  <c r="J42" i="63"/>
  <c r="J36" i="63"/>
  <c r="J32" i="63"/>
  <c r="J16" i="63"/>
  <c r="J29" i="63"/>
  <c r="J23" i="63"/>
  <c r="H16" i="63"/>
  <c r="J40" i="63"/>
  <c r="J34" i="63"/>
  <c r="J26" i="63"/>
  <c r="J22" i="63"/>
  <c r="J31" i="63"/>
  <c r="J25" i="63"/>
  <c r="J21" i="63"/>
  <c r="J45" i="63"/>
  <c r="J38" i="63"/>
  <c r="J28" i="63"/>
  <c r="J20" i="63"/>
  <c r="J18" i="63"/>
  <c r="J14" i="63"/>
  <c r="N12" i="63"/>
  <c r="T38" i="63"/>
  <c r="Z16" i="63"/>
  <c r="J33" i="63"/>
  <c r="L23" i="64"/>
  <c r="N23" i="64" s="1"/>
  <c r="Z24" i="64"/>
  <c r="F36" i="65"/>
  <c r="F30" i="65"/>
  <c r="F25" i="65"/>
  <c r="F34" i="65"/>
  <c r="F28" i="65"/>
  <c r="F19" i="65"/>
  <c r="F16" i="65"/>
  <c r="F21" i="65"/>
  <c r="D16" i="65"/>
  <c r="F39" i="65"/>
  <c r="F32" i="65"/>
  <c r="F24" i="65"/>
  <c r="F27" i="65"/>
  <c r="F20" i="65"/>
  <c r="L12" i="65"/>
  <c r="F23" i="65"/>
  <c r="F18" i="65"/>
  <c r="F14" i="65"/>
  <c r="Z21" i="65"/>
  <c r="Z24" i="65"/>
  <c r="Z27" i="65"/>
  <c r="N30" i="66"/>
  <c r="F38" i="66"/>
  <c r="J26" i="59"/>
  <c r="J30" i="59"/>
  <c r="F31" i="59"/>
  <c r="J34" i="59"/>
  <c r="T16" i="60"/>
  <c r="R19" i="60"/>
  <c r="V25" i="60"/>
  <c r="R26" i="60"/>
  <c r="V29" i="60"/>
  <c r="R35" i="60"/>
  <c r="R43" i="60"/>
  <c r="R50" i="60"/>
  <c r="N16" i="61"/>
  <c r="R23" i="61"/>
  <c r="J26" i="61"/>
  <c r="J30" i="61"/>
  <c r="J38" i="61"/>
  <c r="J42" i="61"/>
  <c r="R44" i="61"/>
  <c r="J48" i="61"/>
  <c r="R51" i="61"/>
  <c r="J82" i="62"/>
  <c r="J76" i="62"/>
  <c r="J68" i="62"/>
  <c r="J64" i="62"/>
  <c r="J60" i="62"/>
  <c r="J93" i="62"/>
  <c r="J85" i="62"/>
  <c r="J79" i="62"/>
  <c r="J75" i="62"/>
  <c r="J71" i="62"/>
  <c r="J67" i="62"/>
  <c r="J63" i="62"/>
  <c r="J57" i="62"/>
  <c r="J74" i="62"/>
  <c r="J62" i="62"/>
  <c r="J98" i="62"/>
  <c r="J91" i="62"/>
  <c r="J88" i="62"/>
  <c r="J84" i="62"/>
  <c r="J78" i="62"/>
  <c r="J70" i="62"/>
  <c r="J66" i="62"/>
  <c r="J56" i="62"/>
  <c r="J83" i="62"/>
  <c r="J61" i="62"/>
  <c r="V14" i="62"/>
  <c r="N16" i="62"/>
  <c r="V18" i="62"/>
  <c r="V22" i="62"/>
  <c r="R23" i="62"/>
  <c r="J26" i="62"/>
  <c r="V34" i="62"/>
  <c r="R35" i="62"/>
  <c r="V38" i="62"/>
  <c r="R39" i="62"/>
  <c r="J40" i="62"/>
  <c r="R44" i="62"/>
  <c r="J46" i="62"/>
  <c r="V50" i="62"/>
  <c r="J54" i="62"/>
  <c r="V56" i="62"/>
  <c r="J59" i="62"/>
  <c r="V61" i="62"/>
  <c r="V66" i="62"/>
  <c r="V70" i="62"/>
  <c r="L72" i="62"/>
  <c r="J73" i="62"/>
  <c r="R75" i="62"/>
  <c r="J77" i="62"/>
  <c r="N78" i="62"/>
  <c r="R79" i="62"/>
  <c r="F88" i="62"/>
  <c r="J89" i="62"/>
  <c r="L15" i="64"/>
  <c r="L48" i="64"/>
  <c r="Z31" i="66"/>
  <c r="X31" i="66"/>
  <c r="J27" i="59"/>
  <c r="J31" i="59"/>
  <c r="J37" i="59"/>
  <c r="J41" i="59"/>
  <c r="J49" i="59"/>
  <c r="J56" i="59"/>
  <c r="V16" i="60"/>
  <c r="V26" i="60"/>
  <c r="V38" i="60"/>
  <c r="R39" i="60"/>
  <c r="R45" i="60"/>
  <c r="P16" i="61"/>
  <c r="R24" i="61"/>
  <c r="R28" i="61"/>
  <c r="R32" i="61"/>
  <c r="J33" i="61"/>
  <c r="R37" i="61"/>
  <c r="R40" i="61"/>
  <c r="R46" i="61"/>
  <c r="P16" i="62"/>
  <c r="V23" i="62"/>
  <c r="R24" i="62"/>
  <c r="J27" i="62"/>
  <c r="J31" i="62"/>
  <c r="V35" i="62"/>
  <c r="R36" i="62"/>
  <c r="V39" i="62"/>
  <c r="J43" i="62"/>
  <c r="V47" i="62"/>
  <c r="R48" i="62"/>
  <c r="J49" i="62"/>
  <c r="F52" i="62"/>
  <c r="R53" i="62"/>
  <c r="F55" i="62"/>
  <c r="V55" i="62"/>
  <c r="X59" i="62"/>
  <c r="Z59" i="62" s="1"/>
  <c r="N72" i="62"/>
  <c r="R74" i="62"/>
  <c r="F83" i="62"/>
  <c r="H12" i="64"/>
  <c r="N15" i="64"/>
  <c r="P36" i="65"/>
  <c r="T12" i="66"/>
  <c r="Z26" i="66"/>
  <c r="X87" i="66"/>
  <c r="Z87" i="66" s="1"/>
  <c r="J40" i="67"/>
  <c r="J32" i="67"/>
  <c r="J18" i="67"/>
  <c r="J37" i="67"/>
  <c r="J31" i="67"/>
  <c r="J52" i="67"/>
  <c r="J46" i="67"/>
  <c r="J42" i="67"/>
  <c r="J34" i="67"/>
  <c r="J30" i="67"/>
  <c r="J24" i="67"/>
  <c r="J41" i="67"/>
  <c r="J33" i="67"/>
  <c r="J27" i="67"/>
  <c r="J19" i="67"/>
  <c r="J35" i="67"/>
  <c r="J50" i="67"/>
  <c r="J36" i="67"/>
  <c r="J43" i="67"/>
  <c r="J28" i="67"/>
  <c r="J44" i="67"/>
  <c r="J39" i="67"/>
  <c r="J38" i="67"/>
  <c r="J55" i="67"/>
  <c r="J21" i="67"/>
  <c r="J48" i="67"/>
  <c r="J25" i="67"/>
  <c r="J23" i="67"/>
  <c r="H21" i="67"/>
  <c r="N12" i="67"/>
  <c r="J26" i="67"/>
  <c r="J29" i="67"/>
  <c r="N12" i="59"/>
  <c r="J14" i="59"/>
  <c r="J18" i="59"/>
  <c r="J20" i="59"/>
  <c r="F21" i="59"/>
  <c r="J28" i="59"/>
  <c r="J32" i="59"/>
  <c r="F45" i="59"/>
  <c r="X12" i="60"/>
  <c r="V19" i="60"/>
  <c r="R20" i="60"/>
  <c r="V27" i="60"/>
  <c r="V35" i="60"/>
  <c r="V39" i="60"/>
  <c r="V43" i="60"/>
  <c r="V45" i="60"/>
  <c r="N12" i="61"/>
  <c r="J14" i="61"/>
  <c r="R16" i="61"/>
  <c r="J18" i="61"/>
  <c r="J20" i="61"/>
  <c r="F21" i="61"/>
  <c r="R25" i="61"/>
  <c r="R29" i="61"/>
  <c r="F44" i="61"/>
  <c r="N12" i="62"/>
  <c r="J14" i="62"/>
  <c r="R16" i="62"/>
  <c r="J18" i="62"/>
  <c r="J20" i="62"/>
  <c r="F21" i="62"/>
  <c r="V24" i="62"/>
  <c r="R25" i="62"/>
  <c r="J28" i="62"/>
  <c r="F29" i="62"/>
  <c r="R30" i="62"/>
  <c r="J32" i="62"/>
  <c r="F33" i="62"/>
  <c r="V36" i="62"/>
  <c r="R37" i="62"/>
  <c r="J38" i="62"/>
  <c r="F41" i="62"/>
  <c r="R42" i="62"/>
  <c r="F44" i="62"/>
  <c r="V44" i="62"/>
  <c r="R45" i="62"/>
  <c r="V48" i="62"/>
  <c r="J52" i="62"/>
  <c r="R58" i="62"/>
  <c r="R59" i="62"/>
  <c r="L61" i="62"/>
  <c r="N61" i="62" s="1"/>
  <c r="J72" i="62"/>
  <c r="V74" i="62"/>
  <c r="V77" i="62"/>
  <c r="X78" i="62"/>
  <c r="Z78" i="62" s="1"/>
  <c r="F86" i="62"/>
  <c r="X88" i="62"/>
  <c r="N14" i="64"/>
  <c r="Z19" i="64"/>
  <c r="Z23" i="64"/>
  <c r="Z40" i="64"/>
  <c r="Z67" i="64"/>
  <c r="P12" i="66"/>
  <c r="X16" i="66"/>
  <c r="Z16" i="66" s="1"/>
  <c r="R19" i="61"/>
  <c r="R26" i="61"/>
  <c r="R30" i="61"/>
  <c r="R35" i="61"/>
  <c r="R38" i="61"/>
  <c r="R88" i="62"/>
  <c r="R81" i="62"/>
  <c r="R78" i="62"/>
  <c r="R73" i="62"/>
  <c r="R70" i="62"/>
  <c r="R66" i="62"/>
  <c r="R84" i="62"/>
  <c r="R61" i="62"/>
  <c r="R83" i="62"/>
  <c r="R80" i="62"/>
  <c r="R72" i="62"/>
  <c r="R95" i="62"/>
  <c r="R89" i="62"/>
  <c r="R86" i="62"/>
  <c r="R82" i="62"/>
  <c r="R77" i="62"/>
  <c r="R69" i="62"/>
  <c r="R65" i="62"/>
  <c r="R85" i="62"/>
  <c r="R76" i="62"/>
  <c r="R68" i="62"/>
  <c r="R64" i="62"/>
  <c r="R60" i="62"/>
  <c r="R57" i="62"/>
  <c r="T16" i="62"/>
  <c r="R19" i="62"/>
  <c r="V25" i="62"/>
  <c r="R26" i="62"/>
  <c r="V37" i="62"/>
  <c r="V45" i="62"/>
  <c r="R46" i="62"/>
  <c r="R51" i="62"/>
  <c r="V53" i="62"/>
  <c r="R54" i="62"/>
  <c r="V57" i="62"/>
  <c r="V58" i="62"/>
  <c r="Z88" i="62"/>
  <c r="R93" i="62"/>
  <c r="P38" i="63"/>
  <c r="X16" i="63"/>
  <c r="X26" i="64"/>
  <c r="Z26" i="64" s="1"/>
  <c r="N74" i="64"/>
  <c r="L74" i="64"/>
  <c r="L30" i="65"/>
  <c r="F109" i="66"/>
  <c r="F103" i="66"/>
  <c r="F93" i="66"/>
  <c r="F90" i="66"/>
  <c r="F86" i="66"/>
  <c r="F81" i="66"/>
  <c r="F78" i="66"/>
  <c r="F73" i="66"/>
  <c r="F66" i="66"/>
  <c r="F62" i="66"/>
  <c r="F96" i="66"/>
  <c r="F89" i="66"/>
  <c r="F61" i="66"/>
  <c r="F45" i="66"/>
  <c r="F37" i="66"/>
  <c r="F99" i="66"/>
  <c r="F92" i="66"/>
  <c r="F88" i="66"/>
  <c r="F83" i="66"/>
  <c r="F80" i="66"/>
  <c r="F75" i="66"/>
  <c r="F72" i="66"/>
  <c r="F98" i="66"/>
  <c r="F94" i="66"/>
  <c r="F85" i="66"/>
  <c r="F82" i="66"/>
  <c r="F77" i="66"/>
  <c r="F74" i="66"/>
  <c r="F70" i="66"/>
  <c r="F102" i="66"/>
  <c r="F97" i="66"/>
  <c r="F84" i="66"/>
  <c r="F100" i="66"/>
  <c r="F95" i="66"/>
  <c r="F65" i="66"/>
  <c r="F64" i="66"/>
  <c r="F63" i="66"/>
  <c r="F76" i="66"/>
  <c r="F68" i="66"/>
  <c r="F67" i="66"/>
  <c r="F54" i="66"/>
  <c r="F36" i="66"/>
  <c r="F91" i="66"/>
  <c r="F87" i="66"/>
  <c r="F69" i="66"/>
  <c r="F52" i="66"/>
  <c r="F50" i="66"/>
  <c r="F49" i="66"/>
  <c r="F48" i="66"/>
  <c r="D52" i="66"/>
  <c r="F47" i="66"/>
  <c r="F105" i="66"/>
  <c r="F104" i="66"/>
  <c r="F79" i="66"/>
  <c r="F57" i="66"/>
  <c r="F56" i="66"/>
  <c r="F46" i="66"/>
  <c r="F44" i="66"/>
  <c r="L12" i="66"/>
  <c r="F60" i="66"/>
  <c r="F58" i="66"/>
  <c r="F55" i="66"/>
  <c r="F43" i="66"/>
  <c r="F42" i="66"/>
  <c r="F41" i="66"/>
  <c r="F40" i="66"/>
  <c r="R42" i="61"/>
  <c r="V84" i="62"/>
  <c r="V80" i="62"/>
  <c r="V72" i="62"/>
  <c r="V95" i="62"/>
  <c r="V89" i="62"/>
  <c r="V83" i="62"/>
  <c r="V86" i="62"/>
  <c r="V82" i="62"/>
  <c r="V85" i="62"/>
  <c r="V76" i="62"/>
  <c r="V68" i="62"/>
  <c r="V64" i="62"/>
  <c r="V60" i="62"/>
  <c r="V98" i="62"/>
  <c r="V93" i="62"/>
  <c r="V91" i="62"/>
  <c r="V79" i="62"/>
  <c r="V75" i="62"/>
  <c r="V71" i="62"/>
  <c r="V67" i="62"/>
  <c r="V63" i="62"/>
  <c r="V59" i="62"/>
  <c r="V16" i="62"/>
  <c r="V26" i="62"/>
  <c r="V30" i="62"/>
  <c r="V42" i="62"/>
  <c r="V46" i="62"/>
  <c r="V54" i="62"/>
  <c r="R63" i="62"/>
  <c r="R67" i="62"/>
  <c r="R71" i="62"/>
  <c r="V78" i="62"/>
  <c r="V88" i="62"/>
  <c r="L18" i="63"/>
  <c r="N19" i="66"/>
  <c r="L19" i="66"/>
  <c r="H12" i="66"/>
  <c r="N27" i="66"/>
  <c r="L27" i="66"/>
  <c r="X91" i="66"/>
  <c r="Z91" i="66" s="1"/>
  <c r="Z14" i="63"/>
  <c r="R16" i="63"/>
  <c r="F21" i="63"/>
  <c r="F25" i="63"/>
  <c r="X31" i="63"/>
  <c r="V32" i="63"/>
  <c r="R36" i="63"/>
  <c r="R42" i="63"/>
  <c r="T12" i="64"/>
  <c r="V18" i="65"/>
  <c r="J22" i="65"/>
  <c r="R24" i="65"/>
  <c r="J26" i="65"/>
  <c r="J30" i="65"/>
  <c r="R32" i="65"/>
  <c r="J36" i="65"/>
  <c r="R39" i="65"/>
  <c r="Z32" i="66"/>
  <c r="V55" i="67"/>
  <c r="V50" i="67"/>
  <c r="V48" i="67"/>
  <c r="V44" i="67"/>
  <c r="V36" i="67"/>
  <c r="V28" i="67"/>
  <c r="Z12" i="67"/>
  <c r="V43" i="67"/>
  <c r="V35" i="67"/>
  <c r="V27" i="67"/>
  <c r="V23" i="67"/>
  <c r="V19" i="67"/>
  <c r="V38" i="67"/>
  <c r="V26" i="67"/>
  <c r="V18" i="67"/>
  <c r="V39" i="67"/>
  <c r="V31" i="67"/>
  <c r="V21" i="67"/>
  <c r="V52" i="67"/>
  <c r="V42" i="67"/>
  <c r="V41" i="67"/>
  <c r="V46" i="67"/>
  <c r="V24" i="67"/>
  <c r="V40" i="67"/>
  <c r="V29" i="67"/>
  <c r="V30" i="67"/>
  <c r="V25" i="67"/>
  <c r="T21" i="67"/>
  <c r="V33" i="67"/>
  <c r="V37" i="67"/>
  <c r="V34" i="67"/>
  <c r="N43" i="69"/>
  <c r="Z78" i="69"/>
  <c r="X78" i="69"/>
  <c r="L112" i="69"/>
  <c r="N112" i="69" s="1"/>
  <c r="D16" i="63"/>
  <c r="R19" i="63"/>
  <c r="F22" i="63"/>
  <c r="F26" i="63"/>
  <c r="R27" i="63"/>
  <c r="F29" i="63"/>
  <c r="V29" i="63"/>
  <c r="R30" i="63"/>
  <c r="F34" i="63"/>
  <c r="F40" i="63"/>
  <c r="R21" i="65"/>
  <c r="J23" i="65"/>
  <c r="V27" i="65"/>
  <c r="R28" i="65"/>
  <c r="R34" i="65"/>
  <c r="Z65" i="66"/>
  <c r="X75" i="66"/>
  <c r="N81" i="66"/>
  <c r="Z85" i="66"/>
  <c r="L93" i="66"/>
  <c r="N93" i="66" s="1"/>
  <c r="H102" i="66"/>
  <c r="L103" i="66"/>
  <c r="N103" i="66" s="1"/>
  <c r="Z37" i="67"/>
  <c r="N39" i="67"/>
  <c r="F16" i="63"/>
  <c r="V16" i="63"/>
  <c r="F23" i="63"/>
  <c r="R24" i="63"/>
  <c r="V30" i="63"/>
  <c r="F36" i="63"/>
  <c r="V36" i="63"/>
  <c r="F42" i="63"/>
  <c r="V42" i="63"/>
  <c r="N12" i="65"/>
  <c r="J14" i="65"/>
  <c r="R16" i="65"/>
  <c r="J18" i="65"/>
  <c r="J20" i="65"/>
  <c r="V24" i="65"/>
  <c r="R25" i="65"/>
  <c r="V28" i="65"/>
  <c r="V32" i="65"/>
  <c r="V34" i="65"/>
  <c r="V39" i="65"/>
  <c r="N79" i="66"/>
  <c r="X99" i="66"/>
  <c r="Z99" i="66" s="1"/>
  <c r="N105" i="66"/>
  <c r="Z106" i="69"/>
  <c r="X106" i="69"/>
  <c r="L13" i="70"/>
  <c r="D12" i="70"/>
  <c r="X12" i="63"/>
  <c r="F19" i="63"/>
  <c r="V19" i="63"/>
  <c r="R20" i="63"/>
  <c r="F27" i="63"/>
  <c r="V27" i="63"/>
  <c r="R28" i="63"/>
  <c r="F32" i="63"/>
  <c r="R33" i="63"/>
  <c r="T16" i="65"/>
  <c r="R19" i="65"/>
  <c r="V21" i="65"/>
  <c r="R22" i="65"/>
  <c r="V25" i="65"/>
  <c r="R26" i="65"/>
  <c r="J27" i="65"/>
  <c r="L14" i="66"/>
  <c r="N14" i="66" s="1"/>
  <c r="X18" i="66"/>
  <c r="Z18" i="66" s="1"/>
  <c r="L22" i="66"/>
  <c r="N22" i="66" s="1"/>
  <c r="X26" i="66"/>
  <c r="L30" i="66"/>
  <c r="D48" i="67"/>
  <c r="L21" i="67"/>
  <c r="Z12" i="63"/>
  <c r="R14" i="63"/>
  <c r="R18" i="63"/>
  <c r="V20" i="63"/>
  <c r="R21" i="63"/>
  <c r="F24" i="63"/>
  <c r="V24" i="63"/>
  <c r="R25" i="63"/>
  <c r="V28" i="63"/>
  <c r="R38" i="63"/>
  <c r="R45" i="63"/>
  <c r="X15" i="64"/>
  <c r="Z15" i="64" s="1"/>
  <c r="V16" i="65"/>
  <c r="V22" i="65"/>
  <c r="R23" i="65"/>
  <c r="J24" i="65"/>
  <c r="V26" i="65"/>
  <c r="R30" i="65"/>
  <c r="J32" i="65"/>
  <c r="R36" i="65"/>
  <c r="J39" i="65"/>
  <c r="Z83" i="66"/>
  <c r="N87" i="66"/>
  <c r="X16" i="67"/>
  <c r="V32" i="67"/>
  <c r="N51" i="69"/>
  <c r="V21" i="63"/>
  <c r="R22" i="63"/>
  <c r="V25" i="63"/>
  <c r="R26" i="63"/>
  <c r="F30" i="63"/>
  <c r="R31" i="63"/>
  <c r="F33" i="63"/>
  <c r="V33" i="63"/>
  <c r="R34" i="63"/>
  <c r="X12" i="65"/>
  <c r="H16" i="65"/>
  <c r="V19" i="65"/>
  <c r="R20" i="65"/>
  <c r="J21" i="65"/>
  <c r="V23" i="65"/>
  <c r="N36" i="66"/>
  <c r="Z79" i="66"/>
  <c r="L87" i="66"/>
  <c r="X103" i="66"/>
  <c r="Z103" i="66" s="1"/>
  <c r="X105" i="66"/>
  <c r="Z105" i="66" s="1"/>
  <c r="Z51" i="71"/>
  <c r="V34" i="63"/>
  <c r="F38" i="63"/>
  <c r="V38" i="63"/>
  <c r="V40" i="63"/>
  <c r="Z12" i="65"/>
  <c r="R14" i="65"/>
  <c r="J16" i="65"/>
  <c r="V20" i="65"/>
  <c r="J28" i="65"/>
  <c r="V30" i="65"/>
  <c r="Z55" i="66"/>
  <c r="N65" i="66"/>
  <c r="N85" i="66"/>
  <c r="F55" i="67"/>
  <c r="F48" i="67"/>
  <c r="F25" i="67"/>
  <c r="F43" i="67"/>
  <c r="F40" i="67"/>
  <c r="F35" i="67"/>
  <c r="F32" i="67"/>
  <c r="F23" i="67"/>
  <c r="F31" i="67"/>
  <c r="F50" i="67"/>
  <c r="F44" i="67"/>
  <c r="F39" i="67"/>
  <c r="F36" i="67"/>
  <c r="F28" i="67"/>
  <c r="F21" i="67"/>
  <c r="L12" i="67"/>
  <c r="F27" i="67"/>
  <c r="F26" i="67"/>
  <c r="F34" i="67"/>
  <c r="F37" i="67"/>
  <c r="F33" i="67"/>
  <c r="F29" i="67"/>
  <c r="F46" i="67"/>
  <c r="F41" i="67"/>
  <c r="F24" i="67"/>
  <c r="F19" i="67"/>
  <c r="Z18" i="67"/>
  <c r="Z33" i="67"/>
  <c r="P12" i="69"/>
  <c r="X15" i="69"/>
  <c r="Z15" i="69" s="1"/>
  <c r="Z18" i="69"/>
  <c r="Z26" i="69"/>
  <c r="Z34" i="69"/>
  <c r="Z42" i="69"/>
  <c r="Z50" i="69"/>
  <c r="Z77" i="69"/>
  <c r="N95" i="69"/>
  <c r="L54" i="70"/>
  <c r="N54" i="70" s="1"/>
  <c r="P12" i="67"/>
  <c r="N24" i="67"/>
  <c r="L39" i="67"/>
  <c r="N13" i="69"/>
  <c r="H12" i="69"/>
  <c r="Z17" i="69"/>
  <c r="N21" i="69"/>
  <c r="N22" i="69"/>
  <c r="Z33" i="69"/>
  <c r="N37" i="69"/>
  <c r="Z41" i="69"/>
  <c r="N45" i="69"/>
  <c r="N46" i="69"/>
  <c r="Z49" i="69"/>
  <c r="X100" i="69"/>
  <c r="Z100" i="69" s="1"/>
  <c r="N14" i="70"/>
  <c r="Z15" i="70"/>
  <c r="N49" i="70"/>
  <c r="Z27" i="71"/>
  <c r="X67" i="71"/>
  <c r="N22" i="76"/>
  <c r="T12" i="71"/>
  <c r="X32" i="71"/>
  <c r="Z32" i="71" s="1"/>
  <c r="Z67" i="71"/>
  <c r="N87" i="71"/>
  <c r="X16" i="73"/>
  <c r="Z16" i="73" s="1"/>
  <c r="D12" i="69"/>
  <c r="T12" i="69"/>
  <c r="Z22" i="69"/>
  <c r="Z30" i="69"/>
  <c r="Z38" i="69"/>
  <c r="Z46" i="69"/>
  <c r="N78" i="69"/>
  <c r="T123" i="69"/>
  <c r="Z14" i="70"/>
  <c r="N84" i="71"/>
  <c r="X87" i="71"/>
  <c r="D12" i="73"/>
  <c r="L13" i="73"/>
  <c r="P28" i="78"/>
  <c r="R20" i="78"/>
  <c r="L16" i="67"/>
  <c r="X14" i="69"/>
  <c r="Z14" i="69" s="1"/>
  <c r="X22" i="69"/>
  <c r="X30" i="69"/>
  <c r="X38" i="69"/>
  <c r="X46" i="69"/>
  <c r="X53" i="69"/>
  <c r="Z53" i="69" s="1"/>
  <c r="X124" i="69"/>
  <c r="Z124" i="69" s="1"/>
  <c r="P12" i="70"/>
  <c r="L17" i="70"/>
  <c r="Z18" i="70"/>
  <c r="N35" i="67"/>
  <c r="N34" i="69"/>
  <c r="N42" i="69"/>
  <c r="N50" i="69"/>
  <c r="L87" i="69"/>
  <c r="N87" i="69" s="1"/>
  <c r="Z93" i="69"/>
  <c r="N103" i="69"/>
  <c r="X13" i="73"/>
  <c r="Z13" i="73" s="1"/>
  <c r="P12" i="73"/>
  <c r="Z21" i="73"/>
  <c r="F19" i="75"/>
  <c r="F25" i="75"/>
  <c r="F18" i="75"/>
  <c r="F27" i="75"/>
  <c r="F23" i="75"/>
  <c r="F20" i="75"/>
  <c r="L12" i="75"/>
  <c r="D23" i="75"/>
  <c r="F31" i="75"/>
  <c r="F21" i="75"/>
  <c r="X37" i="67"/>
  <c r="X120" i="69"/>
  <c r="H12" i="71"/>
  <c r="X51" i="71"/>
  <c r="Z13" i="76"/>
  <c r="T12" i="76"/>
  <c r="D123" i="69"/>
  <c r="L123" i="69" s="1"/>
  <c r="X17" i="70"/>
  <c r="Z67" i="70"/>
  <c r="N15" i="71"/>
  <c r="N16" i="71"/>
  <c r="Z17" i="71"/>
  <c r="L21" i="71"/>
  <c r="N21" i="71" s="1"/>
  <c r="Z24" i="71"/>
  <c r="N29" i="71"/>
  <c r="Z61" i="71"/>
  <c r="N69" i="71"/>
  <c r="Z71" i="71"/>
  <c r="X71" i="71"/>
  <c r="N13" i="73"/>
  <c r="J88" i="77"/>
  <c r="J78" i="77"/>
  <c r="J74" i="77"/>
  <c r="J66" i="77"/>
  <c r="J85" i="77"/>
  <c r="J77" i="77"/>
  <c r="J71" i="77"/>
  <c r="J63" i="77"/>
  <c r="J57" i="77"/>
  <c r="J90" i="77"/>
  <c r="J84" i="77"/>
  <c r="J80" i="77"/>
  <c r="J68" i="77"/>
  <c r="J87" i="77"/>
  <c r="J83" i="77"/>
  <c r="J73" i="77"/>
  <c r="J65" i="77"/>
  <c r="J55" i="77"/>
  <c r="J82" i="77"/>
  <c r="J76" i="77"/>
  <c r="J70" i="77"/>
  <c r="J62" i="77"/>
  <c r="J93" i="77"/>
  <c r="J89" i="77"/>
  <c r="J79" i="77"/>
  <c r="J67" i="77"/>
  <c r="J59" i="77"/>
  <c r="J64" i="77"/>
  <c r="J48" i="77"/>
  <c r="H41" i="77"/>
  <c r="J41" i="77" s="1"/>
  <c r="J81" i="77"/>
  <c r="J75" i="77"/>
  <c r="J56" i="77"/>
  <c r="J53" i="77"/>
  <c r="J47" i="77"/>
  <c r="J39" i="77"/>
  <c r="J97" i="77"/>
  <c r="J72" i="77"/>
  <c r="J46" i="77"/>
  <c r="J38" i="77"/>
  <c r="J86" i="77"/>
  <c r="J61" i="77"/>
  <c r="J58" i="77"/>
  <c r="J45" i="77"/>
  <c r="J43" i="77"/>
  <c r="J37" i="77"/>
  <c r="J69" i="77"/>
  <c r="J52" i="77"/>
  <c r="J36" i="77"/>
  <c r="J60" i="77"/>
  <c r="J51" i="77"/>
  <c r="J54" i="77"/>
  <c r="J49" i="77"/>
  <c r="J35" i="77"/>
  <c r="J50" i="77"/>
  <c r="H12" i="70"/>
  <c r="T12" i="70"/>
  <c r="Z16" i="70"/>
  <c r="N20" i="70"/>
  <c r="N21" i="70"/>
  <c r="N30" i="70"/>
  <c r="D12" i="71"/>
  <c r="L13" i="71"/>
  <c r="N13" i="71" s="1"/>
  <c r="Z16" i="71"/>
  <c r="N28" i="71"/>
  <c r="L73" i="71"/>
  <c r="N73" i="71" s="1"/>
  <c r="Z78" i="71"/>
  <c r="L21" i="73"/>
  <c r="J18" i="75"/>
  <c r="J27" i="75"/>
  <c r="J23" i="75"/>
  <c r="H23" i="75"/>
  <c r="J31" i="75"/>
  <c r="J21" i="75"/>
  <c r="J25" i="75"/>
  <c r="J19" i="75"/>
  <c r="N12" i="75"/>
  <c r="J20" i="75"/>
  <c r="Z69" i="71"/>
  <c r="J63" i="73"/>
  <c r="J57" i="73"/>
  <c r="J43" i="73"/>
  <c r="J35" i="73"/>
  <c r="J31" i="73"/>
  <c r="J25" i="73"/>
  <c r="J54" i="73"/>
  <c r="J46" i="73"/>
  <c r="J40" i="73"/>
  <c r="J24" i="73"/>
  <c r="J49" i="73"/>
  <c r="J37" i="73"/>
  <c r="J56" i="73"/>
  <c r="J42" i="73"/>
  <c r="J34" i="73"/>
  <c r="J30" i="73"/>
  <c r="J53" i="73"/>
  <c r="J45" i="73"/>
  <c r="J39" i="73"/>
  <c r="J33" i="73"/>
  <c r="J29" i="73"/>
  <c r="J52" i="73"/>
  <c r="J48" i="73"/>
  <c r="J44" i="73"/>
  <c r="J36" i="73"/>
  <c r="J32" i="73"/>
  <c r="J28" i="73"/>
  <c r="J50" i="73"/>
  <c r="J55" i="73"/>
  <c r="J38" i="73"/>
  <c r="J17" i="73"/>
  <c r="J26" i="73"/>
  <c r="J23" i="73"/>
  <c r="J21" i="73"/>
  <c r="J47" i="73"/>
  <c r="J22" i="73"/>
  <c r="N21" i="73"/>
  <c r="J46" i="74"/>
  <c r="J40" i="74"/>
  <c r="J36" i="74"/>
  <c r="J30" i="74"/>
  <c r="J24" i="74"/>
  <c r="H17" i="74"/>
  <c r="J27" i="74"/>
  <c r="J23" i="74"/>
  <c r="J15" i="74"/>
  <c r="J44" i="74"/>
  <c r="J38" i="74"/>
  <c r="J32" i="74"/>
  <c r="J22" i="74"/>
  <c r="J35" i="74"/>
  <c r="J29" i="74"/>
  <c r="J21" i="74"/>
  <c r="J19" i="74"/>
  <c r="J49" i="74"/>
  <c r="J42" i="74"/>
  <c r="J26" i="74"/>
  <c r="J14" i="74"/>
  <c r="N12" i="74"/>
  <c r="J37" i="74"/>
  <c r="J31" i="74"/>
  <c r="J33" i="74"/>
  <c r="J25" i="74"/>
  <c r="J17" i="74"/>
  <c r="J34" i="74"/>
  <c r="F37" i="79"/>
  <c r="Z21" i="70"/>
  <c r="Z47" i="70"/>
  <c r="Z49" i="70"/>
  <c r="Z52" i="70"/>
  <c r="X52" i="70"/>
  <c r="Z59" i="70"/>
  <c r="X13" i="71"/>
  <c r="Z13" i="71" s="1"/>
  <c r="P12" i="71"/>
  <c r="L20" i="71"/>
  <c r="N20" i="71" s="1"/>
  <c r="N50" i="71"/>
  <c r="Z84" i="71"/>
  <c r="Z88" i="71"/>
  <c r="Z89" i="71"/>
  <c r="X89" i="71"/>
  <c r="J16" i="73"/>
  <c r="N41" i="73"/>
  <c r="L41" i="73"/>
  <c r="X44" i="76"/>
  <c r="Z44" i="76" s="1"/>
  <c r="L46" i="76"/>
  <c r="N46" i="76" s="1"/>
  <c r="N20" i="77"/>
  <c r="X24" i="77"/>
  <c r="J44" i="77"/>
  <c r="Z30" i="70"/>
  <c r="X20" i="71"/>
  <c r="Z20" i="71" s="1"/>
  <c r="L24" i="71"/>
  <c r="N24" i="71" s="1"/>
  <c r="Z28" i="71"/>
  <c r="N32" i="71"/>
  <c r="N61" i="71"/>
  <c r="V59" i="73"/>
  <c r="V53" i="73"/>
  <c r="V45" i="73"/>
  <c r="V41" i="73"/>
  <c r="V33" i="73"/>
  <c r="V29" i="73"/>
  <c r="V52" i="73"/>
  <c r="V48" i="73"/>
  <c r="V44" i="73"/>
  <c r="V36" i="73"/>
  <c r="V32" i="73"/>
  <c r="V28" i="73"/>
  <c r="V55" i="73"/>
  <c r="V51" i="73"/>
  <c r="V47" i="73"/>
  <c r="V43" i="73"/>
  <c r="V35" i="73"/>
  <c r="V31" i="73"/>
  <c r="V27" i="73"/>
  <c r="V54" i="73"/>
  <c r="V50" i="73"/>
  <c r="V46" i="73"/>
  <c r="V38" i="73"/>
  <c r="V26" i="73"/>
  <c r="V63" i="73"/>
  <c r="V57" i="73"/>
  <c r="V49" i="73"/>
  <c r="V37" i="73"/>
  <c r="V25" i="73"/>
  <c r="V56" i="73"/>
  <c r="V40" i="73"/>
  <c r="V42" i="73"/>
  <c r="V24" i="73"/>
  <c r="T19" i="73"/>
  <c r="V30" i="73"/>
  <c r="V21" i="73"/>
  <c r="V17" i="73"/>
  <c r="V34" i="73"/>
  <c r="V16" i="73"/>
  <c r="H19" i="73"/>
  <c r="J27" i="73"/>
  <c r="J41" i="73"/>
  <c r="Z24" i="77"/>
  <c r="Z28" i="77"/>
  <c r="F74" i="79"/>
  <c r="F68" i="79"/>
  <c r="F60" i="79"/>
  <c r="F56" i="79"/>
  <c r="F44" i="79"/>
  <c r="F39" i="79"/>
  <c r="F36" i="79"/>
  <c r="F24" i="79"/>
  <c r="F59" i="79"/>
  <c r="F50" i="79"/>
  <c r="F47" i="79"/>
  <c r="F35" i="79"/>
  <c r="F31" i="79"/>
  <c r="F22" i="79"/>
  <c r="F65" i="79"/>
  <c r="F41" i="79"/>
  <c r="F38" i="79"/>
  <c r="F34" i="79"/>
  <c r="F30" i="79"/>
  <c r="F52" i="79"/>
  <c r="F49" i="79"/>
  <c r="F33" i="79"/>
  <c r="F29" i="79"/>
  <c r="F16" i="79"/>
  <c r="F67" i="79"/>
  <c r="F64" i="79"/>
  <c r="F55" i="79"/>
  <c r="F43" i="79"/>
  <c r="F40" i="79"/>
  <c r="F28" i="79"/>
  <c r="F23" i="79"/>
  <c r="L12" i="79"/>
  <c r="F63" i="79"/>
  <c r="F58" i="79"/>
  <c r="F51" i="79"/>
  <c r="F46" i="79"/>
  <c r="F27" i="79"/>
  <c r="F20" i="79"/>
  <c r="F45" i="79"/>
  <c r="F25" i="79"/>
  <c r="F61" i="79"/>
  <c r="F57" i="79"/>
  <c r="F26" i="79"/>
  <c r="D20" i="79"/>
  <c r="F66" i="79"/>
  <c r="F62" i="79"/>
  <c r="F42" i="79"/>
  <c r="F53" i="79"/>
  <c r="F70" i="79"/>
  <c r="F18" i="79"/>
  <c r="F17" i="79"/>
  <c r="F54" i="79"/>
  <c r="F32" i="79"/>
  <c r="N19" i="74"/>
  <c r="Z37" i="74"/>
  <c r="Z41" i="76"/>
  <c r="Z50" i="76"/>
  <c r="N16" i="75"/>
  <c r="P12" i="76"/>
  <c r="Z62" i="76"/>
  <c r="Z16" i="77"/>
  <c r="Z23" i="77"/>
  <c r="N43" i="77"/>
  <c r="Z31" i="73"/>
  <c r="Z37" i="73"/>
  <c r="N39" i="73"/>
  <c r="Z54" i="73"/>
  <c r="Z19" i="74"/>
  <c r="N35" i="74"/>
  <c r="V31" i="75"/>
  <c r="V25" i="75"/>
  <c r="V21" i="75"/>
  <c r="V20" i="75"/>
  <c r="V19" i="75"/>
  <c r="V18" i="75"/>
  <c r="V27" i="75"/>
  <c r="Z64" i="76"/>
  <c r="X64" i="76"/>
  <c r="T12" i="77"/>
  <c r="N21" i="77"/>
  <c r="Z26" i="77"/>
  <c r="X43" i="77"/>
  <c r="Z43" i="77" s="1"/>
  <c r="L16" i="81"/>
  <c r="L67" i="81"/>
  <c r="N67" i="81" s="1"/>
  <c r="D66" i="81"/>
  <c r="L66" i="81" s="1"/>
  <c r="N66" i="81" s="1"/>
  <c r="P70" i="70"/>
  <c r="X70" i="70" s="1"/>
  <c r="Z70" i="70" s="1"/>
  <c r="D87" i="71"/>
  <c r="L87" i="71" s="1"/>
  <c r="T87" i="71"/>
  <c r="N56" i="73"/>
  <c r="X35" i="74"/>
  <c r="Z35" i="74" s="1"/>
  <c r="L14" i="75"/>
  <c r="L22" i="76"/>
  <c r="L13" i="77"/>
  <c r="D12" i="77"/>
  <c r="Z25" i="77"/>
  <c r="L28" i="77"/>
  <c r="Z33" i="77"/>
  <c r="N63" i="81"/>
  <c r="L63" i="81"/>
  <c r="Z39" i="73"/>
  <c r="X39" i="73"/>
  <c r="X56" i="73"/>
  <c r="Z56" i="73" s="1"/>
  <c r="L37" i="74"/>
  <c r="N14" i="75"/>
  <c r="T23" i="75"/>
  <c r="L20" i="77"/>
  <c r="N28" i="77"/>
  <c r="X32" i="77"/>
  <c r="Z32" i="77" s="1"/>
  <c r="V63" i="79"/>
  <c r="V51" i="79"/>
  <c r="V39" i="79"/>
  <c r="V27" i="79"/>
  <c r="V66" i="79"/>
  <c r="V62" i="79"/>
  <c r="V54" i="79"/>
  <c r="V50" i="79"/>
  <c r="V42" i="79"/>
  <c r="V26" i="79"/>
  <c r="V22" i="79"/>
  <c r="V18" i="79"/>
  <c r="V65" i="79"/>
  <c r="V61" i="79"/>
  <c r="V57" i="79"/>
  <c r="V53" i="79"/>
  <c r="V45" i="79"/>
  <c r="V41" i="79"/>
  <c r="V25" i="79"/>
  <c r="V17" i="79"/>
  <c r="V79" i="79"/>
  <c r="V74" i="79"/>
  <c r="V72" i="79"/>
  <c r="V68" i="79"/>
  <c r="V60" i="79"/>
  <c r="V56" i="79"/>
  <c r="V52" i="79"/>
  <c r="V44" i="79"/>
  <c r="V36" i="79"/>
  <c r="V24" i="79"/>
  <c r="V16" i="79"/>
  <c r="V67" i="79"/>
  <c r="V59" i="79"/>
  <c r="V55" i="79"/>
  <c r="V47" i="79"/>
  <c r="V43" i="79"/>
  <c r="V35" i="79"/>
  <c r="V31" i="79"/>
  <c r="V23" i="79"/>
  <c r="V58" i="79"/>
  <c r="V46" i="79"/>
  <c r="V38" i="79"/>
  <c r="V34" i="79"/>
  <c r="V30" i="79"/>
  <c r="V20" i="79"/>
  <c r="V76" i="79"/>
  <c r="T20" i="79"/>
  <c r="V37" i="79"/>
  <c r="V48" i="79"/>
  <c r="V32" i="79"/>
  <c r="V70" i="79"/>
  <c r="V49" i="79"/>
  <c r="V33" i="79"/>
  <c r="Z12" i="79"/>
  <c r="V28" i="79"/>
  <c r="V40" i="79"/>
  <c r="Z14" i="79"/>
  <c r="X14" i="79"/>
  <c r="F34" i="74"/>
  <c r="F37" i="74"/>
  <c r="V37" i="74"/>
  <c r="R44" i="74"/>
  <c r="F46" i="76"/>
  <c r="F51" i="76"/>
  <c r="F55" i="76"/>
  <c r="F59" i="76"/>
  <c r="F63" i="76"/>
  <c r="Z76" i="77"/>
  <c r="F30" i="78"/>
  <c r="F24" i="78"/>
  <c r="F22" i="78"/>
  <c r="F16" i="78"/>
  <c r="F23" i="78"/>
  <c r="L12" i="78"/>
  <c r="V22" i="78"/>
  <c r="V18" i="78"/>
  <c r="V17" i="78"/>
  <c r="V30" i="78"/>
  <c r="V24" i="78"/>
  <c r="V16" i="78"/>
  <c r="V23" i="78"/>
  <c r="Z14" i="78"/>
  <c r="F17" i="78"/>
  <c r="T16" i="80"/>
  <c r="Z14" i="80"/>
  <c r="X14" i="80"/>
  <c r="Z45" i="81"/>
  <c r="X45" i="81"/>
  <c r="L59" i="73"/>
  <c r="L12" i="74"/>
  <c r="V15" i="74"/>
  <c r="F19" i="74"/>
  <c r="V19" i="74"/>
  <c r="V23" i="74"/>
  <c r="R24" i="74"/>
  <c r="V27" i="74"/>
  <c r="F35" i="74"/>
  <c r="V35" i="74"/>
  <c r="R36" i="74"/>
  <c r="P12" i="75"/>
  <c r="N13" i="75"/>
  <c r="X13" i="76"/>
  <c r="F17" i="76"/>
  <c r="F25" i="76"/>
  <c r="X35" i="76"/>
  <c r="L37" i="76"/>
  <c r="F44" i="76"/>
  <c r="F49" i="76"/>
  <c r="F61" i="76"/>
  <c r="F64" i="76"/>
  <c r="Z15" i="77"/>
  <c r="L86" i="77"/>
  <c r="V26" i="78"/>
  <c r="J17" i="79"/>
  <c r="J22" i="79"/>
  <c r="J36" i="79"/>
  <c r="J44" i="79"/>
  <c r="J68" i="79"/>
  <c r="F22" i="80"/>
  <c r="Z25" i="80"/>
  <c r="X25" i="80"/>
  <c r="N43" i="81"/>
  <c r="N47" i="81"/>
  <c r="L47" i="81"/>
  <c r="Z49" i="81"/>
  <c r="Z56" i="81"/>
  <c r="N59" i="81"/>
  <c r="P17" i="74"/>
  <c r="F21" i="74"/>
  <c r="V24" i="74"/>
  <c r="R25" i="74"/>
  <c r="F29" i="74"/>
  <c r="R30" i="74"/>
  <c r="F32" i="74"/>
  <c r="V32" i="74"/>
  <c r="R33" i="74"/>
  <c r="V36" i="74"/>
  <c r="R40" i="74"/>
  <c r="R46" i="74"/>
  <c r="F18" i="76"/>
  <c r="D20" i="76"/>
  <c r="F26" i="76"/>
  <c r="F38" i="76"/>
  <c r="F41" i="76"/>
  <c r="F53" i="76"/>
  <c r="F57" i="76"/>
  <c r="N61" i="77"/>
  <c r="Z65" i="77"/>
  <c r="N86" i="77"/>
  <c r="N27" i="80"/>
  <c r="L27" i="80"/>
  <c r="N16" i="81"/>
  <c r="H70" i="81"/>
  <c r="L28" i="81"/>
  <c r="N28" i="81" s="1"/>
  <c r="Z34" i="81"/>
  <c r="X34" i="81"/>
  <c r="L36" i="81"/>
  <c r="N36" i="81" s="1"/>
  <c r="F30" i="83"/>
  <c r="J34" i="88"/>
  <c r="J28" i="88"/>
  <c r="J24" i="88"/>
  <c r="J16" i="88"/>
  <c r="J21" i="88"/>
  <c r="H16" i="88"/>
  <c r="J32" i="88"/>
  <c r="J26" i="88"/>
  <c r="J23" i="88"/>
  <c r="J37" i="88"/>
  <c r="J30" i="88"/>
  <c r="J20" i="88"/>
  <c r="J18" i="88"/>
  <c r="J14" i="88"/>
  <c r="N12" i="88"/>
  <c r="J25" i="88"/>
  <c r="J19" i="88"/>
  <c r="L12" i="88"/>
  <c r="R17" i="74"/>
  <c r="F22" i="74"/>
  <c r="V25" i="74"/>
  <c r="V33" i="74"/>
  <c r="R34" i="74"/>
  <c r="F38" i="74"/>
  <c r="F44" i="74"/>
  <c r="H12" i="76"/>
  <c r="F20" i="76"/>
  <c r="F27" i="76"/>
  <c r="F47" i="76"/>
  <c r="F50" i="76"/>
  <c r="F62" i="76"/>
  <c r="P12" i="77"/>
  <c r="N67" i="77"/>
  <c r="L93" i="77"/>
  <c r="D20" i="78"/>
  <c r="F20" i="78" s="1"/>
  <c r="R23" i="78"/>
  <c r="R23" i="79"/>
  <c r="N19" i="80"/>
  <c r="L19" i="80"/>
  <c r="H32" i="80"/>
  <c r="Z16" i="81"/>
  <c r="R43" i="81"/>
  <c r="R59" i="81"/>
  <c r="R62" i="81"/>
  <c r="Z26" i="84"/>
  <c r="F15" i="74"/>
  <c r="D17" i="74"/>
  <c r="T17" i="74"/>
  <c r="R20" i="74"/>
  <c r="F23" i="74"/>
  <c r="F27" i="74"/>
  <c r="R28" i="74"/>
  <c r="F30" i="74"/>
  <c r="V30" i="74"/>
  <c r="R31" i="74"/>
  <c r="V34" i="74"/>
  <c r="F40" i="74"/>
  <c r="V40" i="74"/>
  <c r="F46" i="74"/>
  <c r="V46" i="74"/>
  <c r="F23" i="76"/>
  <c r="F28" i="76"/>
  <c r="F32" i="76"/>
  <c r="F36" i="76"/>
  <c r="F39" i="76"/>
  <c r="J35" i="78"/>
  <c r="J28" i="78"/>
  <c r="J16" i="78"/>
  <c r="J23" i="78"/>
  <c r="J20" i="78"/>
  <c r="N12" i="78"/>
  <c r="H20" i="78"/>
  <c r="J32" i="78"/>
  <c r="J26" i="78"/>
  <c r="J18" i="78"/>
  <c r="Z37" i="79"/>
  <c r="X37" i="79"/>
  <c r="F27" i="80"/>
  <c r="F24" i="80"/>
  <c r="F19" i="80"/>
  <c r="F16" i="80"/>
  <c r="F26" i="80"/>
  <c r="F21" i="80"/>
  <c r="D16" i="80"/>
  <c r="F36" i="80"/>
  <c r="F30" i="80"/>
  <c r="F34" i="80"/>
  <c r="F28" i="80"/>
  <c r="F23" i="80"/>
  <c r="F20" i="80"/>
  <c r="L12" i="80"/>
  <c r="F18" i="80"/>
  <c r="F14" i="80"/>
  <c r="T66" i="81"/>
  <c r="X67" i="81"/>
  <c r="Z67" i="81" s="1"/>
  <c r="Z32" i="85"/>
  <c r="X12" i="74"/>
  <c r="F17" i="74"/>
  <c r="V17" i="74"/>
  <c r="F24" i="74"/>
  <c r="V31" i="74"/>
  <c r="F36" i="74"/>
  <c r="R37" i="74"/>
  <c r="F16" i="76"/>
  <c r="F29" i="76"/>
  <c r="F33" i="76"/>
  <c r="F45" i="76"/>
  <c r="F48" i="76"/>
  <c r="F65" i="76"/>
  <c r="F71" i="76"/>
  <c r="L16" i="77"/>
  <c r="N16" i="77" s="1"/>
  <c r="X20" i="77"/>
  <c r="Z20" i="77" s="1"/>
  <c r="L24" i="77"/>
  <c r="X28" i="77"/>
  <c r="L32" i="77"/>
  <c r="N32" i="77" s="1"/>
  <c r="Z67" i="77"/>
  <c r="T20" i="78"/>
  <c r="F26" i="78"/>
  <c r="J65" i="79"/>
  <c r="J59" i="79"/>
  <c r="J47" i="79"/>
  <c r="J41" i="79"/>
  <c r="J35" i="79"/>
  <c r="J31" i="79"/>
  <c r="J79" i="79"/>
  <c r="J72" i="79"/>
  <c r="J52" i="79"/>
  <c r="J38" i="79"/>
  <c r="J34" i="79"/>
  <c r="J30" i="79"/>
  <c r="J16" i="79"/>
  <c r="J67" i="79"/>
  <c r="J55" i="79"/>
  <c r="J49" i="79"/>
  <c r="J43" i="79"/>
  <c r="J33" i="79"/>
  <c r="J29" i="79"/>
  <c r="J23" i="79"/>
  <c r="J64" i="79"/>
  <c r="J58" i="79"/>
  <c r="J46" i="79"/>
  <c r="J40" i="79"/>
  <c r="J28" i="79"/>
  <c r="J20" i="79"/>
  <c r="N12" i="79"/>
  <c r="J63" i="79"/>
  <c r="J51" i="79"/>
  <c r="J37" i="79"/>
  <c r="J27" i="79"/>
  <c r="H20" i="79"/>
  <c r="J76" i="79"/>
  <c r="J70" i="79"/>
  <c r="J66" i="79"/>
  <c r="J62" i="79"/>
  <c r="J54" i="79"/>
  <c r="J48" i="79"/>
  <c r="J42" i="79"/>
  <c r="J32" i="79"/>
  <c r="J26" i="79"/>
  <c r="J18" i="79"/>
  <c r="J57" i="79"/>
  <c r="X58" i="79"/>
  <c r="J61" i="79"/>
  <c r="F25" i="80"/>
  <c r="F39" i="80"/>
  <c r="N18" i="81"/>
  <c r="N19" i="81"/>
  <c r="F32" i="83"/>
  <c r="F27" i="83"/>
  <c r="F24" i="83"/>
  <c r="F19" i="83"/>
  <c r="F42" i="83"/>
  <c r="F36" i="83"/>
  <c r="F23" i="83"/>
  <c r="F16" i="83"/>
  <c r="F40" i="83"/>
  <c r="F34" i="83"/>
  <c r="F29" i="83"/>
  <c r="F26" i="83"/>
  <c r="F22" i="83"/>
  <c r="D16" i="83"/>
  <c r="F21" i="83"/>
  <c r="F31" i="83"/>
  <c r="F28" i="83"/>
  <c r="F20" i="83"/>
  <c r="L12" i="83"/>
  <c r="F38" i="83"/>
  <c r="F18" i="83"/>
  <c r="F14" i="83"/>
  <c r="F33" i="83"/>
  <c r="F45" i="83"/>
  <c r="T12" i="84"/>
  <c r="Z13" i="84"/>
  <c r="X13" i="84"/>
  <c r="Z12" i="74"/>
  <c r="F20" i="74"/>
  <c r="V20" i="74"/>
  <c r="R21" i="74"/>
  <c r="F25" i="74"/>
  <c r="R26" i="74"/>
  <c r="F28" i="74"/>
  <c r="R29" i="74"/>
  <c r="R42" i="74"/>
  <c r="F30" i="76"/>
  <c r="F34" i="76"/>
  <c r="F37" i="76"/>
  <c r="F42" i="76"/>
  <c r="F54" i="76"/>
  <c r="F58" i="76"/>
  <c r="F67" i="76"/>
  <c r="Z73" i="77"/>
  <c r="X76" i="77"/>
  <c r="F18" i="78"/>
  <c r="J25" i="79"/>
  <c r="N39" i="79"/>
  <c r="L39" i="79"/>
  <c r="R43" i="79"/>
  <c r="J45" i="79"/>
  <c r="X46" i="79"/>
  <c r="Z46" i="79" s="1"/>
  <c r="J56" i="79"/>
  <c r="J60" i="79"/>
  <c r="L70" i="79"/>
  <c r="X18" i="80"/>
  <c r="Z18" i="80" s="1"/>
  <c r="R72" i="81"/>
  <c r="R77" i="81"/>
  <c r="R74" i="81"/>
  <c r="R70" i="81"/>
  <c r="R67" i="81"/>
  <c r="R64" i="81"/>
  <c r="R61" i="81"/>
  <c r="R52" i="81"/>
  <c r="R48" i="81"/>
  <c r="R45" i="81"/>
  <c r="R40" i="81"/>
  <c r="R24" i="81"/>
  <c r="P16" i="81"/>
  <c r="R55" i="81"/>
  <c r="R51" i="81"/>
  <c r="R36" i="81"/>
  <c r="R28" i="81"/>
  <c r="R23" i="81"/>
  <c r="R63" i="81"/>
  <c r="R58" i="81"/>
  <c r="R54" i="81"/>
  <c r="R50" i="81"/>
  <c r="R47" i="81"/>
  <c r="R42" i="81"/>
  <c r="R39" i="81"/>
  <c r="R22" i="81"/>
  <c r="R68" i="81"/>
  <c r="R57" i="81"/>
  <c r="R33" i="81"/>
  <c r="R21" i="81"/>
  <c r="R18" i="81"/>
  <c r="R14" i="81"/>
  <c r="R60" i="81"/>
  <c r="R53" i="81"/>
  <c r="R49" i="81"/>
  <c r="R44" i="81"/>
  <c r="R41" i="81"/>
  <c r="R32" i="81"/>
  <c r="R20" i="81"/>
  <c r="X12" i="81"/>
  <c r="R66" i="81"/>
  <c r="R56" i="81"/>
  <c r="R35" i="81"/>
  <c r="R31" i="81"/>
  <c r="R27" i="81"/>
  <c r="N39" i="81"/>
  <c r="L39" i="81"/>
  <c r="Z61" i="81"/>
  <c r="X61" i="81"/>
  <c r="R24" i="82"/>
  <c r="R21" i="82"/>
  <c r="P16" i="82"/>
  <c r="R36" i="82"/>
  <c r="R30" i="82"/>
  <c r="R26" i="82"/>
  <c r="R23" i="82"/>
  <c r="R18" i="82"/>
  <c r="R14" i="82"/>
  <c r="R34" i="82"/>
  <c r="R28" i="82"/>
  <c r="R25" i="82"/>
  <c r="R20" i="82"/>
  <c r="X12" i="82"/>
  <c r="R39" i="82"/>
  <c r="R32" i="82"/>
  <c r="R27" i="82"/>
  <c r="R16" i="82"/>
  <c r="R22" i="82"/>
  <c r="R19" i="82"/>
  <c r="R16" i="78"/>
  <c r="R28" i="78"/>
  <c r="R16" i="79"/>
  <c r="R31" i="79"/>
  <c r="R35" i="79"/>
  <c r="R47" i="79"/>
  <c r="R52" i="79"/>
  <c r="R59" i="79"/>
  <c r="V14" i="80"/>
  <c r="V18" i="80"/>
  <c r="J22" i="80"/>
  <c r="V26" i="80"/>
  <c r="R30" i="80"/>
  <c r="J32" i="80"/>
  <c r="R36" i="80"/>
  <c r="J39" i="80"/>
  <c r="N14" i="81"/>
  <c r="F16" i="81"/>
  <c r="V16" i="81"/>
  <c r="J22" i="81"/>
  <c r="F23" i="81"/>
  <c r="V26" i="81"/>
  <c r="J28" i="81"/>
  <c r="V30" i="81"/>
  <c r="F34" i="81"/>
  <c r="V34" i="81"/>
  <c r="J36" i="81"/>
  <c r="V38" i="81"/>
  <c r="J42" i="81"/>
  <c r="V46" i="81"/>
  <c r="J50" i="81"/>
  <c r="F51" i="81"/>
  <c r="J54" i="81"/>
  <c r="F55" i="81"/>
  <c r="J58" i="81"/>
  <c r="V62" i="81"/>
  <c r="F70" i="81"/>
  <c r="F72" i="81"/>
  <c r="L16" i="82"/>
  <c r="D32" i="82"/>
  <c r="Z14" i="83"/>
  <c r="X14" i="83"/>
  <c r="R28" i="84"/>
  <c r="R23" i="84"/>
  <c r="R20" i="84"/>
  <c r="R27" i="84"/>
  <c r="R24" i="84"/>
  <c r="R36" i="84"/>
  <c r="R22" i="84"/>
  <c r="R41" i="84"/>
  <c r="R38" i="84"/>
  <c r="R21" i="84"/>
  <c r="R19" i="84"/>
  <c r="R26" i="84"/>
  <c r="R17" i="84"/>
  <c r="R15" i="84"/>
  <c r="Z28" i="84"/>
  <c r="V69" i="86"/>
  <c r="V64" i="86"/>
  <c r="V62" i="86"/>
  <c r="V55" i="86"/>
  <c r="V51" i="86"/>
  <c r="V39" i="86"/>
  <c r="V66" i="86"/>
  <c r="V60" i="86"/>
  <c r="V54" i="86"/>
  <c r="V50" i="86"/>
  <c r="V42" i="86"/>
  <c r="V38" i="86"/>
  <c r="V57" i="86"/>
  <c r="V56" i="86"/>
  <c r="V29" i="86"/>
  <c r="V25" i="86"/>
  <c r="V53" i="86"/>
  <c r="V52" i="86"/>
  <c r="V46" i="86"/>
  <c r="V45" i="86"/>
  <c r="V40" i="86"/>
  <c r="V37" i="86"/>
  <c r="V24" i="86"/>
  <c r="V47" i="86"/>
  <c r="V36" i="86"/>
  <c r="V23" i="86"/>
  <c r="V19" i="86"/>
  <c r="V15" i="86"/>
  <c r="V22" i="86"/>
  <c r="V14" i="86"/>
  <c r="V44" i="86"/>
  <c r="V43" i="86"/>
  <c r="V33" i="86"/>
  <c r="V21" i="86"/>
  <c r="V49" i="86"/>
  <c r="V41" i="86"/>
  <c r="V32" i="86"/>
  <c r="V28" i="86"/>
  <c r="V20" i="86"/>
  <c r="Z12" i="86"/>
  <c r="V59" i="86"/>
  <c r="V17" i="86"/>
  <c r="T17" i="86"/>
  <c r="V26" i="86"/>
  <c r="V27" i="86"/>
  <c r="V35" i="86"/>
  <c r="V34" i="86"/>
  <c r="Z16" i="87"/>
  <c r="T32" i="87"/>
  <c r="Z14" i="88"/>
  <c r="X14" i="88"/>
  <c r="R24" i="78"/>
  <c r="R30" i="78"/>
  <c r="R24" i="79"/>
  <c r="R36" i="79"/>
  <c r="R41" i="79"/>
  <c r="R44" i="79"/>
  <c r="R56" i="79"/>
  <c r="R60" i="79"/>
  <c r="R65" i="79"/>
  <c r="R68" i="79"/>
  <c r="R74" i="79"/>
  <c r="P16" i="80"/>
  <c r="R21" i="80"/>
  <c r="R24" i="80"/>
  <c r="F19" i="81"/>
  <c r="J23" i="81"/>
  <c r="F24" i="81"/>
  <c r="V27" i="81"/>
  <c r="V31" i="81"/>
  <c r="V35" i="81"/>
  <c r="F40" i="81"/>
  <c r="F43" i="81"/>
  <c r="V43" i="81"/>
  <c r="J45" i="81"/>
  <c r="F48" i="81"/>
  <c r="J51" i="81"/>
  <c r="F52" i="81"/>
  <c r="J55" i="81"/>
  <c r="F59" i="81"/>
  <c r="V59" i="81"/>
  <c r="J61" i="81"/>
  <c r="F64" i="81"/>
  <c r="J67" i="81"/>
  <c r="Z19" i="82"/>
  <c r="X18" i="83"/>
  <c r="Z18" i="83" s="1"/>
  <c r="X25" i="83"/>
  <c r="Z25" i="83" s="1"/>
  <c r="X12" i="86"/>
  <c r="R17" i="78"/>
  <c r="R22" i="78"/>
  <c r="R17" i="79"/>
  <c r="R22" i="79"/>
  <c r="R25" i="79"/>
  <c r="R45" i="79"/>
  <c r="R50" i="79"/>
  <c r="R53" i="79"/>
  <c r="R57" i="79"/>
  <c r="R61" i="79"/>
  <c r="R16" i="80"/>
  <c r="J20" i="80"/>
  <c r="V24" i="80"/>
  <c r="J28" i="80"/>
  <c r="V30" i="80"/>
  <c r="J34" i="80"/>
  <c r="V36" i="80"/>
  <c r="V20" i="81"/>
  <c r="J24" i="81"/>
  <c r="F25" i="81"/>
  <c r="F29" i="81"/>
  <c r="V32" i="81"/>
  <c r="J34" i="81"/>
  <c r="F37" i="81"/>
  <c r="J40" i="81"/>
  <c r="V44" i="81"/>
  <c r="J48" i="81"/>
  <c r="J52" i="81"/>
  <c r="F56" i="81"/>
  <c r="V56" i="81"/>
  <c r="V60" i="81"/>
  <c r="J64" i="81"/>
  <c r="F66" i="81"/>
  <c r="V66" i="81"/>
  <c r="J70" i="81"/>
  <c r="V48" i="86"/>
  <c r="N24" i="87"/>
  <c r="L24" i="87"/>
  <c r="R18" i="78"/>
  <c r="R18" i="79"/>
  <c r="R26" i="79"/>
  <c r="R39" i="79"/>
  <c r="R42" i="79"/>
  <c r="R54" i="79"/>
  <c r="R62" i="79"/>
  <c r="R66" i="79"/>
  <c r="R19" i="80"/>
  <c r="R22" i="80"/>
  <c r="R27" i="80"/>
  <c r="F26" i="81"/>
  <c r="J29" i="81"/>
  <c r="F30" i="81"/>
  <c r="V33" i="81"/>
  <c r="J37" i="81"/>
  <c r="F38" i="81"/>
  <c r="F41" i="81"/>
  <c r="V41" i="81"/>
  <c r="J43" i="81"/>
  <c r="F46" i="81"/>
  <c r="F49" i="81"/>
  <c r="V49" i="81"/>
  <c r="F53" i="81"/>
  <c r="V53" i="81"/>
  <c r="V57" i="81"/>
  <c r="F62" i="81"/>
  <c r="V72" i="81"/>
  <c r="Z16" i="82"/>
  <c r="T32" i="82"/>
  <c r="N30" i="82"/>
  <c r="L30" i="82"/>
  <c r="P42" i="83"/>
  <c r="N27" i="83"/>
  <c r="L13" i="85"/>
  <c r="D12" i="85"/>
  <c r="Z22" i="85"/>
  <c r="L64" i="85"/>
  <c r="N64" i="85" s="1"/>
  <c r="R26" i="78"/>
  <c r="R27" i="79"/>
  <c r="R32" i="79"/>
  <c r="R48" i="79"/>
  <c r="R51" i="79"/>
  <c r="R63" i="79"/>
  <c r="R70" i="79"/>
  <c r="N14" i="80"/>
  <c r="V16" i="80"/>
  <c r="V22" i="80"/>
  <c r="J26" i="80"/>
  <c r="J30" i="80"/>
  <c r="R32" i="80"/>
  <c r="R39" i="80"/>
  <c r="J74" i="81"/>
  <c r="J72" i="81"/>
  <c r="J77" i="81"/>
  <c r="F14" i="81"/>
  <c r="V14" i="81"/>
  <c r="F18" i="81"/>
  <c r="V18" i="81"/>
  <c r="V22" i="81"/>
  <c r="J26" i="81"/>
  <c r="F27" i="81"/>
  <c r="J30" i="81"/>
  <c r="F31" i="81"/>
  <c r="F35" i="81"/>
  <c r="J38" i="81"/>
  <c r="V42" i="81"/>
  <c r="J46" i="81"/>
  <c r="V50" i="81"/>
  <c r="V54" i="81"/>
  <c r="J56" i="81"/>
  <c r="V58" i="81"/>
  <c r="J62" i="81"/>
  <c r="J66" i="81"/>
  <c r="F68" i="81"/>
  <c r="V68" i="81"/>
  <c r="F77" i="81"/>
  <c r="Z21" i="82"/>
  <c r="L23" i="82"/>
  <c r="Z27" i="82"/>
  <c r="X22" i="84"/>
  <c r="Z22" i="84" s="1"/>
  <c r="R29" i="84"/>
  <c r="J64" i="85"/>
  <c r="V31" i="86"/>
  <c r="X12" i="78"/>
  <c r="Z12" i="78" s="1"/>
  <c r="X12" i="79"/>
  <c r="P20" i="79"/>
  <c r="R28" i="79"/>
  <c r="R37" i="79"/>
  <c r="R40" i="79"/>
  <c r="X12" i="80"/>
  <c r="R20" i="80"/>
  <c r="R25" i="80"/>
  <c r="R28" i="80"/>
  <c r="L12" i="81"/>
  <c r="F20" i="81"/>
  <c r="V23" i="81"/>
  <c r="J27" i="81"/>
  <c r="J31" i="81"/>
  <c r="F32" i="81"/>
  <c r="J35" i="81"/>
  <c r="F39" i="81"/>
  <c r="V39" i="81"/>
  <c r="J41" i="81"/>
  <c r="F44" i="81"/>
  <c r="F47" i="81"/>
  <c r="V47" i="81"/>
  <c r="J49" i="81"/>
  <c r="V51" i="81"/>
  <c r="J53" i="81"/>
  <c r="V55" i="81"/>
  <c r="F60" i="81"/>
  <c r="F63" i="81"/>
  <c r="V63" i="81"/>
  <c r="N18" i="82"/>
  <c r="N23" i="82"/>
  <c r="X33" i="83"/>
  <c r="Z33" i="83" s="1"/>
  <c r="P34" i="84"/>
  <c r="V30" i="86"/>
  <c r="F16" i="82"/>
  <c r="V16" i="82"/>
  <c r="V22" i="82"/>
  <c r="J26" i="82"/>
  <c r="J30" i="82"/>
  <c r="J36" i="82"/>
  <c r="V14" i="83"/>
  <c r="V18" i="83"/>
  <c r="V22" i="83"/>
  <c r="R23" i="83"/>
  <c r="V26" i="83"/>
  <c r="J30" i="83"/>
  <c r="V34" i="83"/>
  <c r="V38" i="83"/>
  <c r="V40" i="83"/>
  <c r="J21" i="84"/>
  <c r="N13" i="85"/>
  <c r="X16" i="85"/>
  <c r="Z16" i="85" s="1"/>
  <c r="J27" i="85"/>
  <c r="V30" i="85"/>
  <c r="V31" i="85"/>
  <c r="J39" i="85"/>
  <c r="Z77" i="85"/>
  <c r="T76" i="85"/>
  <c r="Z76" i="85" s="1"/>
  <c r="X77" i="85"/>
  <c r="D62" i="86"/>
  <c r="L17" i="86"/>
  <c r="N45" i="86"/>
  <c r="N26" i="89"/>
  <c r="L26" i="89"/>
  <c r="F19" i="82"/>
  <c r="V19" i="82"/>
  <c r="J21" i="82"/>
  <c r="F24" i="82"/>
  <c r="F27" i="82"/>
  <c r="V27" i="82"/>
  <c r="V23" i="83"/>
  <c r="R24" i="83"/>
  <c r="J25" i="83"/>
  <c r="R29" i="83"/>
  <c r="V31" i="83"/>
  <c r="R32" i="83"/>
  <c r="J33" i="83"/>
  <c r="N22" i="84"/>
  <c r="J41" i="84"/>
  <c r="X13" i="85"/>
  <c r="Z13" i="85" s="1"/>
  <c r="P12" i="85"/>
  <c r="Z23" i="85"/>
  <c r="V29" i="85"/>
  <c r="J45" i="85"/>
  <c r="V57" i="85"/>
  <c r="J70" i="85"/>
  <c r="X76" i="85"/>
  <c r="X60" i="86"/>
  <c r="P59" i="86"/>
  <c r="X59" i="86" s="1"/>
  <c r="P32" i="87"/>
  <c r="X16" i="87"/>
  <c r="P37" i="89"/>
  <c r="X17" i="89"/>
  <c r="N18" i="90"/>
  <c r="Z12" i="82"/>
  <c r="J16" i="82"/>
  <c r="V20" i="82"/>
  <c r="J24" i="82"/>
  <c r="V28" i="82"/>
  <c r="F32" i="82"/>
  <c r="V32" i="82"/>
  <c r="V34" i="82"/>
  <c r="F39" i="82"/>
  <c r="V39" i="82"/>
  <c r="N12" i="83"/>
  <c r="J14" i="83"/>
  <c r="R16" i="83"/>
  <c r="J18" i="83"/>
  <c r="J20" i="83"/>
  <c r="V24" i="83"/>
  <c r="J28" i="83"/>
  <c r="V32" i="83"/>
  <c r="R36" i="83"/>
  <c r="J38" i="83"/>
  <c r="F38" i="84"/>
  <c r="F32" i="84"/>
  <c r="F27" i="84"/>
  <c r="F22" i="84"/>
  <c r="D17" i="84"/>
  <c r="F19" i="84"/>
  <c r="F41" i="84"/>
  <c r="F34" i="84"/>
  <c r="F26" i="84"/>
  <c r="F23" i="84"/>
  <c r="L15" i="84"/>
  <c r="J22" i="84"/>
  <c r="F25" i="84"/>
  <c r="L28" i="84"/>
  <c r="N28" i="84" s="1"/>
  <c r="F36" i="84"/>
  <c r="J76" i="85"/>
  <c r="J72" i="85"/>
  <c r="J68" i="85"/>
  <c r="J60" i="85"/>
  <c r="J56" i="85"/>
  <c r="J50" i="85"/>
  <c r="J44" i="85"/>
  <c r="J36" i="85"/>
  <c r="J24" i="85"/>
  <c r="J22" i="85"/>
  <c r="J67" i="85"/>
  <c r="J63" i="85"/>
  <c r="J59" i="85"/>
  <c r="J55" i="85"/>
  <c r="J47" i="85"/>
  <c r="J41" i="85"/>
  <c r="J35" i="85"/>
  <c r="J74" i="85"/>
  <c r="J66" i="85"/>
  <c r="J58" i="85"/>
  <c r="J52" i="85"/>
  <c r="J38" i="85"/>
  <c r="J34" i="85"/>
  <c r="J77" i="85"/>
  <c r="J71" i="85"/>
  <c r="J65" i="85"/>
  <c r="J49" i="85"/>
  <c r="J43" i="85"/>
  <c r="J33" i="85"/>
  <c r="J29" i="85"/>
  <c r="J23" i="85"/>
  <c r="J62" i="85"/>
  <c r="J54" i="85"/>
  <c r="J46" i="85"/>
  <c r="J40" i="85"/>
  <c r="J28" i="85"/>
  <c r="J81" i="85"/>
  <c r="J73" i="85"/>
  <c r="J57" i="85"/>
  <c r="J51" i="85"/>
  <c r="J37" i="85"/>
  <c r="H20" i="85"/>
  <c r="V23" i="85"/>
  <c r="J26" i="85"/>
  <c r="X32" i="85"/>
  <c r="J42" i="85"/>
  <c r="Z43" i="85"/>
  <c r="Z46" i="85"/>
  <c r="H66" i="86"/>
  <c r="Z60" i="86"/>
  <c r="J19" i="82"/>
  <c r="F22" i="82"/>
  <c r="F25" i="82"/>
  <c r="V25" i="82"/>
  <c r="J27" i="82"/>
  <c r="H32" i="82"/>
  <c r="T16" i="83"/>
  <c r="R19" i="83"/>
  <c r="J21" i="83"/>
  <c r="R27" i="83"/>
  <c r="V29" i="83"/>
  <c r="R30" i="83"/>
  <c r="J31" i="83"/>
  <c r="V42" i="83"/>
  <c r="J36" i="84"/>
  <c r="J30" i="84"/>
  <c r="J24" i="84"/>
  <c r="J23" i="84"/>
  <c r="J28" i="84"/>
  <c r="J20" i="84"/>
  <c r="Z20" i="84"/>
  <c r="L22" i="84"/>
  <c r="J25" i="84"/>
  <c r="F28" i="84"/>
  <c r="F29" i="84"/>
  <c r="J25" i="85"/>
  <c r="N37" i="85"/>
  <c r="V38" i="85"/>
  <c r="L48" i="85"/>
  <c r="N48" i="85" s="1"/>
  <c r="Z52" i="85"/>
  <c r="N62" i="85"/>
  <c r="J69" i="85"/>
  <c r="X71" i="85"/>
  <c r="Z71" i="85" s="1"/>
  <c r="L77" i="85"/>
  <c r="D76" i="85"/>
  <c r="L76" i="85" s="1"/>
  <c r="N34" i="86"/>
  <c r="L34" i="86"/>
  <c r="Z38" i="86"/>
  <c r="Z59" i="86"/>
  <c r="V36" i="87"/>
  <c r="V30" i="87"/>
  <c r="V24" i="87"/>
  <c r="V27" i="87"/>
  <c r="V26" i="87"/>
  <c r="V21" i="87"/>
  <c r="V39" i="87"/>
  <c r="V34" i="87"/>
  <c r="V32" i="87"/>
  <c r="V20" i="87"/>
  <c r="Z12" i="87"/>
  <c r="V19" i="87"/>
  <c r="V22" i="87"/>
  <c r="V23" i="87"/>
  <c r="V18" i="87"/>
  <c r="V25" i="87"/>
  <c r="V16" i="87"/>
  <c r="F14" i="82"/>
  <c r="F18" i="82"/>
  <c r="V18" i="82"/>
  <c r="J22" i="82"/>
  <c r="V26" i="82"/>
  <c r="J32" i="82"/>
  <c r="J39" i="82"/>
  <c r="V16" i="83"/>
  <c r="J22" i="83"/>
  <c r="J26" i="83"/>
  <c r="V30" i="83"/>
  <c r="J34" i="83"/>
  <c r="V36" i="83"/>
  <c r="J40" i="83"/>
  <c r="R45" i="83"/>
  <c r="J27" i="84"/>
  <c r="J29" i="84"/>
  <c r="F30" i="84"/>
  <c r="J32" i="84"/>
  <c r="J34" i="84"/>
  <c r="V64" i="85"/>
  <c r="V48" i="85"/>
  <c r="V40" i="85"/>
  <c r="V32" i="85"/>
  <c r="V28" i="85"/>
  <c r="V81" i="85"/>
  <c r="V51" i="85"/>
  <c r="V39" i="85"/>
  <c r="V70" i="85"/>
  <c r="V50" i="85"/>
  <c r="V42" i="85"/>
  <c r="V69" i="85"/>
  <c r="V61" i="85"/>
  <c r="V53" i="85"/>
  <c r="V45" i="85"/>
  <c r="V41" i="85"/>
  <c r="V25" i="85"/>
  <c r="V17" i="85"/>
  <c r="V72" i="85"/>
  <c r="V68" i="85"/>
  <c r="V60" i="85"/>
  <c r="V56" i="85"/>
  <c r="V52" i="85"/>
  <c r="V44" i="85"/>
  <c r="V36" i="85"/>
  <c r="V24" i="85"/>
  <c r="V16" i="85"/>
  <c r="V77" i="85"/>
  <c r="V71" i="85"/>
  <c r="V67" i="85"/>
  <c r="V63" i="85"/>
  <c r="V59" i="85"/>
  <c r="V55" i="85"/>
  <c r="V47" i="85"/>
  <c r="V43" i="85"/>
  <c r="V35" i="85"/>
  <c r="V26" i="85"/>
  <c r="V27" i="85"/>
  <c r="J31" i="85"/>
  <c r="V34" i="85"/>
  <c r="L57" i="85"/>
  <c r="N57" i="85" s="1"/>
  <c r="J61" i="85"/>
  <c r="L73" i="85"/>
  <c r="N73" i="85" s="1"/>
  <c r="V74" i="85"/>
  <c r="P17" i="86"/>
  <c r="X14" i="86"/>
  <c r="X20" i="86"/>
  <c r="Z20" i="86" s="1"/>
  <c r="N18" i="88"/>
  <c r="J50" i="91"/>
  <c r="J42" i="91"/>
  <c r="J68" i="91"/>
  <c r="J62" i="91"/>
  <c r="J58" i="91"/>
  <c r="J52" i="91"/>
  <c r="J77" i="91"/>
  <c r="J71" i="91"/>
  <c r="J67" i="91"/>
  <c r="J49" i="91"/>
  <c r="J41" i="91"/>
  <c r="J27" i="91"/>
  <c r="J66" i="91"/>
  <c r="J54" i="91"/>
  <c r="J46" i="91"/>
  <c r="J38" i="91"/>
  <c r="J63" i="91"/>
  <c r="J59" i="91"/>
  <c r="J53" i="91"/>
  <c r="J45" i="91"/>
  <c r="J35" i="91"/>
  <c r="J31" i="91"/>
  <c r="J65" i="91"/>
  <c r="J61" i="91"/>
  <c r="J57" i="91"/>
  <c r="J39" i="91"/>
  <c r="J30" i="91"/>
  <c r="J29" i="91"/>
  <c r="J28" i="91"/>
  <c r="J26" i="91"/>
  <c r="J25" i="91"/>
  <c r="J23" i="91"/>
  <c r="J70" i="91"/>
  <c r="J51" i="91"/>
  <c r="J47" i="91"/>
  <c r="J43" i="91"/>
  <c r="J40" i="91"/>
  <c r="J37" i="91"/>
  <c r="J69" i="91"/>
  <c r="J48" i="91"/>
  <c r="J44" i="91"/>
  <c r="J17" i="91"/>
  <c r="J55" i="91"/>
  <c r="J32" i="91"/>
  <c r="J24" i="91"/>
  <c r="J34" i="91"/>
  <c r="J33" i="91"/>
  <c r="J64" i="91"/>
  <c r="J60" i="91"/>
  <c r="J56" i="91"/>
  <c r="H21" i="91"/>
  <c r="J18" i="91"/>
  <c r="J36" i="91"/>
  <c r="L12" i="82"/>
  <c r="F20" i="82"/>
  <c r="F23" i="82"/>
  <c r="F28" i="82"/>
  <c r="X12" i="83"/>
  <c r="H16" i="83"/>
  <c r="V19" i="83"/>
  <c r="R20" i="83"/>
  <c r="J23" i="83"/>
  <c r="R25" i="83"/>
  <c r="R28" i="83"/>
  <c r="J29" i="83"/>
  <c r="R33" i="83"/>
  <c r="N12" i="84"/>
  <c r="J15" i="84"/>
  <c r="H17" i="84"/>
  <c r="J26" i="84"/>
  <c r="N16" i="85"/>
  <c r="J17" i="85"/>
  <c r="T20" i="85"/>
  <c r="J30" i="85"/>
  <c r="N32" i="85"/>
  <c r="J48" i="85"/>
  <c r="V49" i="85"/>
  <c r="J53" i="85"/>
  <c r="X54" i="85"/>
  <c r="Z54" i="85" s="1"/>
  <c r="Z62" i="85"/>
  <c r="V66" i="85"/>
  <c r="N29" i="86"/>
  <c r="L29" i="86"/>
  <c r="F46" i="86"/>
  <c r="F48" i="86"/>
  <c r="J53" i="86"/>
  <c r="F54" i="86"/>
  <c r="F55" i="86"/>
  <c r="F56" i="86"/>
  <c r="R60" i="86"/>
  <c r="D36" i="87"/>
  <c r="H17" i="89"/>
  <c r="N14" i="89"/>
  <c r="L14" i="89"/>
  <c r="L30" i="90"/>
  <c r="N30" i="90" s="1"/>
  <c r="N14" i="91"/>
  <c r="R25" i="91"/>
  <c r="X50" i="93"/>
  <c r="Z50" i="93" s="1"/>
  <c r="F69" i="86"/>
  <c r="F62" i="86"/>
  <c r="F44" i="86"/>
  <c r="F66" i="86"/>
  <c r="F60" i="86"/>
  <c r="F50" i="86"/>
  <c r="F47" i="86"/>
  <c r="F38" i="86"/>
  <c r="J17" i="86"/>
  <c r="R22" i="86"/>
  <c r="J25" i="86"/>
  <c r="F26" i="86"/>
  <c r="F30" i="86"/>
  <c r="F40" i="86"/>
  <c r="F41" i="86"/>
  <c r="X50" i="86"/>
  <c r="J54" i="86"/>
  <c r="J55" i="86"/>
  <c r="F59" i="86"/>
  <c r="X19" i="87"/>
  <c r="Z19" i="87" s="1"/>
  <c r="L29" i="87"/>
  <c r="N30" i="87"/>
  <c r="H29" i="87"/>
  <c r="N29" i="87" s="1"/>
  <c r="R39" i="87"/>
  <c r="Z30" i="89"/>
  <c r="L14" i="90"/>
  <c r="Z39" i="90"/>
  <c r="X39" i="90"/>
  <c r="R66" i="91"/>
  <c r="J47" i="86"/>
  <c r="J41" i="86"/>
  <c r="J64" i="86"/>
  <c r="J56" i="86"/>
  <c r="J52" i="86"/>
  <c r="J46" i="86"/>
  <c r="F14" i="86"/>
  <c r="J20" i="86"/>
  <c r="R23" i="86"/>
  <c r="J26" i="86"/>
  <c r="F27" i="86"/>
  <c r="J30" i="86"/>
  <c r="F31" i="86"/>
  <c r="F35" i="86"/>
  <c r="J38" i="86"/>
  <c r="F39" i="86"/>
  <c r="J40" i="86"/>
  <c r="F42" i="86"/>
  <c r="L43" i="86"/>
  <c r="R47" i="86"/>
  <c r="J48" i="86"/>
  <c r="R50" i="86"/>
  <c r="R52" i="86"/>
  <c r="J66" i="86"/>
  <c r="J69" i="86"/>
  <c r="R19" i="87"/>
  <c r="L14" i="88"/>
  <c r="Z18" i="88"/>
  <c r="N19" i="89"/>
  <c r="D12" i="91"/>
  <c r="L13" i="91"/>
  <c r="R24" i="91"/>
  <c r="R43" i="91"/>
  <c r="P16" i="92"/>
  <c r="R28" i="92"/>
  <c r="R22" i="92"/>
  <c r="R18" i="92"/>
  <c r="R14" i="92"/>
  <c r="R26" i="92"/>
  <c r="R20" i="92"/>
  <c r="X12" i="92"/>
  <c r="R31" i="92"/>
  <c r="R24" i="92"/>
  <c r="R16" i="92"/>
  <c r="R19" i="92"/>
  <c r="N17" i="86"/>
  <c r="J42" i="86"/>
  <c r="F43" i="86"/>
  <c r="F49" i="86"/>
  <c r="R53" i="86"/>
  <c r="J59" i="86"/>
  <c r="F64" i="86"/>
  <c r="J34" i="87"/>
  <c r="J26" i="87"/>
  <c r="J20" i="87"/>
  <c r="J18" i="87"/>
  <c r="J14" i="87"/>
  <c r="N12" i="87"/>
  <c r="J23" i="87"/>
  <c r="J39" i="87"/>
  <c r="J32" i="87"/>
  <c r="J29" i="87"/>
  <c r="J25" i="87"/>
  <c r="J19" i="87"/>
  <c r="J22" i="87"/>
  <c r="J16" i="87"/>
  <c r="J36" i="87"/>
  <c r="J29" i="90"/>
  <c r="J25" i="90"/>
  <c r="J19" i="90"/>
  <c r="J46" i="90"/>
  <c r="J40" i="90"/>
  <c r="J34" i="90"/>
  <c r="J24" i="90"/>
  <c r="J16" i="90"/>
  <c r="J37" i="90"/>
  <c r="J31" i="90"/>
  <c r="J23" i="90"/>
  <c r="H16" i="90"/>
  <c r="J51" i="90"/>
  <c r="J44" i="90"/>
  <c r="J28" i="90"/>
  <c r="J22" i="90"/>
  <c r="J39" i="90"/>
  <c r="J33" i="90"/>
  <c r="J21" i="90"/>
  <c r="J36" i="90"/>
  <c r="J30" i="90"/>
  <c r="J20" i="90"/>
  <c r="J18" i="90"/>
  <c r="J14" i="90"/>
  <c r="N12" i="90"/>
  <c r="P44" i="90"/>
  <c r="J27" i="90"/>
  <c r="R39" i="91"/>
  <c r="J49" i="86"/>
  <c r="R54" i="86"/>
  <c r="Z56" i="86"/>
  <c r="R57" i="86"/>
  <c r="J60" i="86"/>
  <c r="L12" i="87"/>
  <c r="H16" i="87"/>
  <c r="L16" i="87" s="1"/>
  <c r="L22" i="87"/>
  <c r="P30" i="88"/>
  <c r="X32" i="89"/>
  <c r="Z32" i="89" s="1"/>
  <c r="L12" i="90"/>
  <c r="Z19" i="90"/>
  <c r="N37" i="90"/>
  <c r="J42" i="90"/>
  <c r="R77" i="91"/>
  <c r="R71" i="91"/>
  <c r="R67" i="91"/>
  <c r="R70" i="91"/>
  <c r="R65" i="91"/>
  <c r="R61" i="91"/>
  <c r="R57" i="91"/>
  <c r="R64" i="91"/>
  <c r="R60" i="91"/>
  <c r="R56" i="91"/>
  <c r="R53" i="91"/>
  <c r="R48" i="91"/>
  <c r="R45" i="91"/>
  <c r="R40" i="91"/>
  <c r="R36" i="91"/>
  <c r="R32" i="91"/>
  <c r="R63" i="91"/>
  <c r="R59" i="91"/>
  <c r="R35" i="91"/>
  <c r="R31" i="91"/>
  <c r="R73" i="91"/>
  <c r="R68" i="91"/>
  <c r="R52" i="91"/>
  <c r="R49" i="91"/>
  <c r="R44" i="91"/>
  <c r="R41" i="91"/>
  <c r="R34" i="91"/>
  <c r="R55" i="91"/>
  <c r="R54" i="91"/>
  <c r="P21" i="91"/>
  <c r="R33" i="91"/>
  <c r="X12" i="91"/>
  <c r="R19" i="91"/>
  <c r="R23" i="91"/>
  <c r="R18" i="91"/>
  <c r="R62" i="91"/>
  <c r="R58" i="91"/>
  <c r="R30" i="91"/>
  <c r="R29" i="91"/>
  <c r="R28" i="91"/>
  <c r="R27" i="91"/>
  <c r="R26" i="91"/>
  <c r="Z23" i="91"/>
  <c r="R38" i="91"/>
  <c r="R47" i="91"/>
  <c r="R56" i="86"/>
  <c r="R59" i="86"/>
  <c r="R45" i="86"/>
  <c r="R40" i="86"/>
  <c r="R55" i="86"/>
  <c r="R51" i="86"/>
  <c r="R48" i="86"/>
  <c r="R39" i="86"/>
  <c r="R36" i="86"/>
  <c r="R17" i="86"/>
  <c r="J19" i="86"/>
  <c r="J21" i="86"/>
  <c r="F22" i="86"/>
  <c r="R26" i="86"/>
  <c r="F29" i="86"/>
  <c r="R30" i="86"/>
  <c r="J33" i="86"/>
  <c r="X38" i="86"/>
  <c r="X41" i="86"/>
  <c r="Z41" i="86" s="1"/>
  <c r="J43" i="86"/>
  <c r="J44" i="86"/>
  <c r="F45" i="86"/>
  <c r="L52" i="86"/>
  <c r="J62" i="86"/>
  <c r="R66" i="86"/>
  <c r="R25" i="87"/>
  <c r="R22" i="87"/>
  <c r="R16" i="87"/>
  <c r="R36" i="87"/>
  <c r="R30" i="87"/>
  <c r="R27" i="87"/>
  <c r="R24" i="87"/>
  <c r="R26" i="87"/>
  <c r="R21" i="87"/>
  <c r="R18" i="87"/>
  <c r="R14" i="87"/>
  <c r="J27" i="87"/>
  <c r="F24" i="88"/>
  <c r="F19" i="88"/>
  <c r="F34" i="88"/>
  <c r="F28" i="88"/>
  <c r="F16" i="88"/>
  <c r="F32" i="88"/>
  <c r="F26" i="88"/>
  <c r="F21" i="88"/>
  <c r="D16" i="88"/>
  <c r="F23" i="88"/>
  <c r="L18" i="88"/>
  <c r="F22" i="88"/>
  <c r="X23" i="88"/>
  <c r="Z23" i="88" s="1"/>
  <c r="L18" i="90"/>
  <c r="Z28" i="90"/>
  <c r="X28" i="90"/>
  <c r="J35" i="90"/>
  <c r="J48" i="90"/>
  <c r="R46" i="91"/>
  <c r="R17" i="89"/>
  <c r="F44" i="89"/>
  <c r="X45" i="91"/>
  <c r="Z45" i="91" s="1"/>
  <c r="Z49" i="91"/>
  <c r="D24" i="92"/>
  <c r="F76" i="93"/>
  <c r="F67" i="93"/>
  <c r="F55" i="93"/>
  <c r="F50" i="93"/>
  <c r="F47" i="93"/>
  <c r="F42" i="93"/>
  <c r="F39" i="93"/>
  <c r="F34" i="93"/>
  <c r="F80" i="93"/>
  <c r="F74" i="93"/>
  <c r="F71" i="93"/>
  <c r="F54" i="93"/>
  <c r="F51" i="93"/>
  <c r="F46" i="93"/>
  <c r="F73" i="93"/>
  <c r="F68" i="93"/>
  <c r="F63" i="93"/>
  <c r="F62" i="93"/>
  <c r="F33" i="93"/>
  <c r="F32" i="93"/>
  <c r="F23" i="93"/>
  <c r="F70" i="93"/>
  <c r="F69" i="93"/>
  <c r="F61" i="93"/>
  <c r="F60" i="93"/>
  <c r="F53" i="93"/>
  <c r="F45" i="93"/>
  <c r="F31" i="93"/>
  <c r="F52" i="93"/>
  <c r="F44" i="93"/>
  <c r="F40" i="93"/>
  <c r="F30" i="93"/>
  <c r="F17" i="93"/>
  <c r="F43" i="93"/>
  <c r="F38" i="93"/>
  <c r="F29" i="93"/>
  <c r="F24" i="93"/>
  <c r="F72" i="93"/>
  <c r="F59" i="93"/>
  <c r="F58" i="93"/>
  <c r="F37" i="93"/>
  <c r="F36" i="93"/>
  <c r="F35" i="93"/>
  <c r="F28" i="93"/>
  <c r="F21" i="93"/>
  <c r="L12" i="93"/>
  <c r="F66" i="93"/>
  <c r="F64" i="93"/>
  <c r="F57" i="93"/>
  <c r="F49" i="93"/>
  <c r="F27" i="93"/>
  <c r="D21" i="93"/>
  <c r="F19" i="93"/>
  <c r="F41" i="93"/>
  <c r="F25" i="93"/>
  <c r="F26" i="93"/>
  <c r="F48" i="93"/>
  <c r="L52" i="96"/>
  <c r="N52" i="96" s="1"/>
  <c r="F25" i="87"/>
  <c r="F32" i="87"/>
  <c r="F39" i="87"/>
  <c r="R16" i="88"/>
  <c r="V24" i="88"/>
  <c r="R28" i="88"/>
  <c r="R34" i="88"/>
  <c r="F15" i="89"/>
  <c r="D17" i="89"/>
  <c r="T17" i="89"/>
  <c r="R20" i="89"/>
  <c r="J22" i="89"/>
  <c r="F23" i="89"/>
  <c r="F27" i="89"/>
  <c r="R28" i="89"/>
  <c r="F30" i="89"/>
  <c r="V30" i="89"/>
  <c r="R31" i="89"/>
  <c r="J32" i="89"/>
  <c r="D16" i="90"/>
  <c r="T16" i="90"/>
  <c r="R19" i="90"/>
  <c r="F22" i="90"/>
  <c r="V25" i="90"/>
  <c r="R26" i="90"/>
  <c r="V29" i="90"/>
  <c r="F37" i="90"/>
  <c r="V37" i="90"/>
  <c r="R38" i="90"/>
  <c r="Z58" i="91"/>
  <c r="Z62" i="91"/>
  <c r="Z18" i="92"/>
  <c r="N23" i="93"/>
  <c r="N48" i="93"/>
  <c r="T16" i="88"/>
  <c r="R19" i="88"/>
  <c r="V21" i="88"/>
  <c r="R22" i="88"/>
  <c r="X12" i="89"/>
  <c r="J15" i="89"/>
  <c r="F17" i="89"/>
  <c r="V17" i="89"/>
  <c r="J23" i="89"/>
  <c r="F24" i="89"/>
  <c r="J27" i="89"/>
  <c r="R35" i="89"/>
  <c r="J37" i="89"/>
  <c r="R41" i="89"/>
  <c r="J44" i="89"/>
  <c r="F16" i="90"/>
  <c r="V16" i="90"/>
  <c r="F23" i="90"/>
  <c r="V26" i="90"/>
  <c r="R27" i="90"/>
  <c r="F31" i="90"/>
  <c r="R32" i="90"/>
  <c r="F34" i="90"/>
  <c r="V34" i="90"/>
  <c r="R35" i="90"/>
  <c r="V38" i="90"/>
  <c r="R42" i="90"/>
  <c r="R48" i="90"/>
  <c r="T12" i="91"/>
  <c r="L43" i="91"/>
  <c r="L51" i="91"/>
  <c r="Z16" i="92"/>
  <c r="T24" i="92"/>
  <c r="Z19" i="92"/>
  <c r="F56" i="93"/>
  <c r="J71" i="94"/>
  <c r="J57" i="94"/>
  <c r="J62" i="94"/>
  <c r="J73" i="94"/>
  <c r="J65" i="94"/>
  <c r="J59" i="94"/>
  <c r="J70" i="94"/>
  <c r="J56" i="94"/>
  <c r="J69" i="94"/>
  <c r="J61" i="94"/>
  <c r="J53" i="94"/>
  <c r="J80" i="94"/>
  <c r="J74" i="94"/>
  <c r="J66" i="94"/>
  <c r="J60" i="94"/>
  <c r="J58" i="94"/>
  <c r="J54" i="94"/>
  <c r="J49" i="94"/>
  <c r="J46" i="94"/>
  <c r="J36" i="94"/>
  <c r="J32" i="94"/>
  <c r="J43" i="94"/>
  <c r="J35" i="94"/>
  <c r="J31" i="94"/>
  <c r="J17" i="94"/>
  <c r="J48" i="94"/>
  <c r="J40" i="94"/>
  <c r="J30" i="94"/>
  <c r="J24" i="94"/>
  <c r="J52" i="94"/>
  <c r="J45" i="94"/>
  <c r="J29" i="94"/>
  <c r="J21" i="94"/>
  <c r="J76" i="94"/>
  <c r="J42" i="94"/>
  <c r="J34" i="94"/>
  <c r="J28" i="94"/>
  <c r="H21" i="94"/>
  <c r="J63" i="94"/>
  <c r="J47" i="94"/>
  <c r="J39" i="94"/>
  <c r="J27" i="94"/>
  <c r="J19" i="94"/>
  <c r="J68" i="94"/>
  <c r="J64" i="94"/>
  <c r="J55" i="94"/>
  <c r="J41" i="94"/>
  <c r="J37" i="94"/>
  <c r="J33" i="94"/>
  <c r="J25" i="94"/>
  <c r="J23" i="94"/>
  <c r="J50" i="94"/>
  <c r="J38" i="94"/>
  <c r="J26" i="94"/>
  <c r="J67" i="94"/>
  <c r="J51" i="94"/>
  <c r="J72" i="94"/>
  <c r="J44" i="94"/>
  <c r="J18" i="94"/>
  <c r="V16" i="88"/>
  <c r="V22" i="88"/>
  <c r="V28" i="88"/>
  <c r="V34" i="88"/>
  <c r="R14" i="89"/>
  <c r="R21" i="89"/>
  <c r="F25" i="89"/>
  <c r="R26" i="89"/>
  <c r="F28" i="89"/>
  <c r="R29" i="89"/>
  <c r="F33" i="89"/>
  <c r="F39" i="89"/>
  <c r="F40" i="90"/>
  <c r="F46" i="90"/>
  <c r="L47" i="91"/>
  <c r="N47" i="91"/>
  <c r="X12" i="88"/>
  <c r="V19" i="88"/>
  <c r="R19" i="89"/>
  <c r="R22" i="89"/>
  <c r="J33" i="89"/>
  <c r="F35" i="89"/>
  <c r="J39" i="89"/>
  <c r="F41" i="89"/>
  <c r="F29" i="90"/>
  <c r="F32" i="90"/>
  <c r="F42" i="90"/>
  <c r="V42" i="90"/>
  <c r="F48" i="90"/>
  <c r="V48" i="90"/>
  <c r="X13" i="91"/>
  <c r="Z13" i="91" s="1"/>
  <c r="X34" i="91"/>
  <c r="Z34" i="91" s="1"/>
  <c r="L39" i="91"/>
  <c r="N39" i="91"/>
  <c r="F24" i="87"/>
  <c r="F30" i="87"/>
  <c r="Z12" i="88"/>
  <c r="F14" i="89"/>
  <c r="R15" i="89"/>
  <c r="J20" i="89"/>
  <c r="R23" i="89"/>
  <c r="F26" i="89"/>
  <c r="R27" i="89"/>
  <c r="V21" i="90"/>
  <c r="R22" i="90"/>
  <c r="F26" i="90"/>
  <c r="N62" i="91"/>
  <c r="R56" i="93"/>
  <c r="R51" i="93"/>
  <c r="R48" i="93"/>
  <c r="R43" i="93"/>
  <c r="R40" i="93"/>
  <c r="R35" i="93"/>
  <c r="R70" i="93"/>
  <c r="R72" i="93"/>
  <c r="R68" i="93"/>
  <c r="R67" i="93"/>
  <c r="R55" i="93"/>
  <c r="R52" i="93"/>
  <c r="R47" i="93"/>
  <c r="R44" i="93"/>
  <c r="R80" i="93"/>
  <c r="R74" i="93"/>
  <c r="R71" i="93"/>
  <c r="R42" i="93"/>
  <c r="R39" i="93"/>
  <c r="R38" i="93"/>
  <c r="R37" i="93"/>
  <c r="R28" i="93"/>
  <c r="R73" i="93"/>
  <c r="R58" i="93"/>
  <c r="R57" i="93"/>
  <c r="R49" i="93"/>
  <c r="R36" i="93"/>
  <c r="R34" i="93"/>
  <c r="R27" i="93"/>
  <c r="R19" i="93"/>
  <c r="R66" i="93"/>
  <c r="R65" i="93"/>
  <c r="R64" i="93"/>
  <c r="R26" i="93"/>
  <c r="R23" i="93"/>
  <c r="R18" i="93"/>
  <c r="R63" i="93"/>
  <c r="R54" i="93"/>
  <c r="R46" i="93"/>
  <c r="R41" i="93"/>
  <c r="R25" i="93"/>
  <c r="R33" i="93"/>
  <c r="R17" i="93"/>
  <c r="R69" i="93"/>
  <c r="R62" i="93"/>
  <c r="R61" i="93"/>
  <c r="R60" i="93"/>
  <c r="R53" i="93"/>
  <c r="R45" i="93"/>
  <c r="R32" i="93"/>
  <c r="R31" i="93"/>
  <c r="R24" i="93"/>
  <c r="R59" i="93"/>
  <c r="R50" i="93"/>
  <c r="R29" i="93"/>
  <c r="P21" i="93"/>
  <c r="T12" i="93"/>
  <c r="X15" i="93"/>
  <c r="Z15" i="93" s="1"/>
  <c r="F18" i="93"/>
  <c r="N34" i="93"/>
  <c r="Z53" i="91"/>
  <c r="N55" i="91"/>
  <c r="N12" i="92"/>
  <c r="J14" i="92"/>
  <c r="J18" i="92"/>
  <c r="J20" i="92"/>
  <c r="F22" i="92"/>
  <c r="V22" i="92"/>
  <c r="J26" i="92"/>
  <c r="F28" i="92"/>
  <c r="V28" i="92"/>
  <c r="X13" i="93"/>
  <c r="Z13" i="93" s="1"/>
  <c r="N24" i="93"/>
  <c r="J32" i="93"/>
  <c r="J33" i="93"/>
  <c r="N44" i="93"/>
  <c r="N46" i="93"/>
  <c r="N54" i="93"/>
  <c r="F80" i="94"/>
  <c r="F74" i="94"/>
  <c r="F66" i="94"/>
  <c r="F60" i="94"/>
  <c r="F71" i="94"/>
  <c r="F62" i="94"/>
  <c r="F59" i="94"/>
  <c r="F54" i="94"/>
  <c r="F51" i="94"/>
  <c r="F73" i="94"/>
  <c r="F70" i="94"/>
  <c r="F65" i="94"/>
  <c r="F76" i="94"/>
  <c r="F67" i="94"/>
  <c r="F63" i="94"/>
  <c r="F68" i="94"/>
  <c r="F64" i="94"/>
  <c r="F55" i="94"/>
  <c r="F50" i="94"/>
  <c r="F44" i="94"/>
  <c r="F41" i="94"/>
  <c r="F37" i="94"/>
  <c r="F33" i="94"/>
  <c r="F25" i="94"/>
  <c r="F69" i="94"/>
  <c r="F57" i="94"/>
  <c r="F56" i="94"/>
  <c r="F49" i="94"/>
  <c r="F36" i="94"/>
  <c r="F32" i="94"/>
  <c r="F23" i="94"/>
  <c r="F61" i="94"/>
  <c r="F58" i="94"/>
  <c r="F53" i="94"/>
  <c r="F46" i="94"/>
  <c r="F43" i="94"/>
  <c r="F35" i="94"/>
  <c r="F31" i="94"/>
  <c r="F30" i="94"/>
  <c r="F17" i="94"/>
  <c r="F48" i="94"/>
  <c r="F45" i="94"/>
  <c r="F40" i="94"/>
  <c r="F29" i="94"/>
  <c r="F24" i="94"/>
  <c r="F52" i="94"/>
  <c r="F28" i="94"/>
  <c r="F21" i="94"/>
  <c r="L12" i="94"/>
  <c r="N12" i="94" s="1"/>
  <c r="F72" i="94"/>
  <c r="F38" i="94"/>
  <c r="F26" i="94"/>
  <c r="F18" i="94"/>
  <c r="V16" i="92"/>
  <c r="J22" i="92"/>
  <c r="J28" i="92"/>
  <c r="J80" i="93"/>
  <c r="J74" i="93"/>
  <c r="J66" i="93"/>
  <c r="J62" i="93"/>
  <c r="J58" i="93"/>
  <c r="J52" i="93"/>
  <c r="J44" i="93"/>
  <c r="J38" i="93"/>
  <c r="J71" i="93"/>
  <c r="J73" i="93"/>
  <c r="J70" i="93"/>
  <c r="J56" i="93"/>
  <c r="J48" i="93"/>
  <c r="J18" i="93"/>
  <c r="J26" i="93"/>
  <c r="J34" i="93"/>
  <c r="Z52" i="93"/>
  <c r="J65" i="93"/>
  <c r="V69" i="94"/>
  <c r="V61" i="94"/>
  <c r="V72" i="94"/>
  <c r="V68" i="94"/>
  <c r="V64" i="94"/>
  <c r="V60" i="94"/>
  <c r="V71" i="94"/>
  <c r="V67" i="94"/>
  <c r="V63" i="94"/>
  <c r="V55" i="94"/>
  <c r="V80" i="94"/>
  <c r="V74" i="94"/>
  <c r="V66" i="94"/>
  <c r="V62" i="94"/>
  <c r="V54" i="94"/>
  <c r="V73" i="94"/>
  <c r="V65" i="94"/>
  <c r="V57" i="94"/>
  <c r="V49" i="94"/>
  <c r="V76" i="94"/>
  <c r="V70" i="94"/>
  <c r="V58" i="94"/>
  <c r="V44" i="94"/>
  <c r="V28" i="94"/>
  <c r="V47" i="94"/>
  <c r="V39" i="94"/>
  <c r="V27" i="94"/>
  <c r="V23" i="94"/>
  <c r="V19" i="94"/>
  <c r="V51" i="94"/>
  <c r="V50" i="94"/>
  <c r="V46" i="94"/>
  <c r="V38" i="94"/>
  <c r="V26" i="94"/>
  <c r="V56" i="94"/>
  <c r="V41" i="94"/>
  <c r="V37" i="94"/>
  <c r="V33" i="94"/>
  <c r="V25" i="94"/>
  <c r="V17" i="94"/>
  <c r="V48" i="94"/>
  <c r="V40" i="94"/>
  <c r="V36" i="94"/>
  <c r="V32" i="94"/>
  <c r="V24" i="94"/>
  <c r="V43" i="94"/>
  <c r="V35" i="94"/>
  <c r="V31" i="94"/>
  <c r="V21" i="94"/>
  <c r="V59" i="94"/>
  <c r="V45" i="94"/>
  <c r="V29" i="94"/>
  <c r="Z46" i="94"/>
  <c r="V53" i="94"/>
  <c r="H16" i="92"/>
  <c r="F19" i="92"/>
  <c r="V19" i="92"/>
  <c r="J19" i="93"/>
  <c r="J27" i="93"/>
  <c r="J42" i="93"/>
  <c r="J49" i="93"/>
  <c r="J57" i="93"/>
  <c r="J64" i="93"/>
  <c r="V18" i="94"/>
  <c r="F27" i="94"/>
  <c r="N34" i="94"/>
  <c r="F39" i="94"/>
  <c r="Z12" i="92"/>
  <c r="J16" i="92"/>
  <c r="V20" i="92"/>
  <c r="F24" i="92"/>
  <c r="V24" i="92"/>
  <c r="V26" i="92"/>
  <c r="F31" i="92"/>
  <c r="N12" i="93"/>
  <c r="H21" i="93"/>
  <c r="J28" i="93"/>
  <c r="J35" i="93"/>
  <c r="J36" i="93"/>
  <c r="J37" i="93"/>
  <c r="J39" i="93"/>
  <c r="N50" i="93"/>
  <c r="L71" i="93"/>
  <c r="N71" i="93" s="1"/>
  <c r="J72" i="93"/>
  <c r="F47" i="94"/>
  <c r="J19" i="92"/>
  <c r="J21" i="93"/>
  <c r="J29" i="93"/>
  <c r="J43" i="93"/>
  <c r="J50" i="93"/>
  <c r="J51" i="93"/>
  <c r="J59" i="93"/>
  <c r="D21" i="94"/>
  <c r="Z34" i="94"/>
  <c r="F42" i="94"/>
  <c r="J24" i="92"/>
  <c r="J24" i="93"/>
  <c r="J30" i="93"/>
  <c r="X46" i="93"/>
  <c r="Z46" i="93" s="1"/>
  <c r="Z48" i="93"/>
  <c r="X54" i="93"/>
  <c r="Z54" i="93" s="1"/>
  <c r="Z56" i="93"/>
  <c r="N76" i="93"/>
  <c r="L76" i="93"/>
  <c r="X13" i="94"/>
  <c r="P12" i="94"/>
  <c r="V34" i="94"/>
  <c r="V52" i="94"/>
  <c r="L12" i="92"/>
  <c r="F20" i="92"/>
  <c r="J17" i="93"/>
  <c r="J31" i="93"/>
  <c r="J40" i="93"/>
  <c r="J45" i="93"/>
  <c r="J53" i="93"/>
  <c r="J60" i="93"/>
  <c r="J61" i="93"/>
  <c r="J69" i="93"/>
  <c r="X73" i="93"/>
  <c r="Z73" i="93" s="1"/>
  <c r="J76" i="93"/>
  <c r="F19" i="94"/>
  <c r="T21" i="94"/>
  <c r="N24" i="94"/>
  <c r="L22" i="95"/>
  <c r="N22" i="95" s="1"/>
  <c r="X34" i="94"/>
  <c r="X42" i="94"/>
  <c r="Z42" i="94" s="1"/>
  <c r="L44" i="94"/>
  <c r="X52" i="94"/>
  <c r="Z52" i="94" s="1"/>
  <c r="Z65" i="94"/>
  <c r="L21" i="95"/>
  <c r="D20" i="95"/>
  <c r="Z19" i="96"/>
  <c r="F33" i="96"/>
  <c r="V20" i="98"/>
  <c r="V16" i="98"/>
  <c r="Z12" i="98"/>
  <c r="V34" i="98"/>
  <c r="V31" i="98"/>
  <c r="V27" i="98"/>
  <c r="X12" i="98"/>
  <c r="V21" i="98"/>
  <c r="V22" i="98"/>
  <c r="V36" i="98"/>
  <c r="V29" i="98"/>
  <c r="V15" i="98"/>
  <c r="V18" i="98"/>
  <c r="T18" i="98"/>
  <c r="V33" i="98"/>
  <c r="V24" i="98"/>
  <c r="Z56" i="94"/>
  <c r="R52" i="96"/>
  <c r="R40" i="96"/>
  <c r="R35" i="96"/>
  <c r="R51" i="96"/>
  <c r="R39" i="96"/>
  <c r="R36" i="96"/>
  <c r="R31" i="96"/>
  <c r="R27" i="96"/>
  <c r="R44" i="96"/>
  <c r="R29" i="96"/>
  <c r="R42" i="96"/>
  <c r="R41" i="96"/>
  <c r="R30" i="96"/>
  <c r="X12" i="96"/>
  <c r="Z12" i="96" s="1"/>
  <c r="R56" i="96"/>
  <c r="R38" i="96"/>
  <c r="R20" i="96"/>
  <c r="R55" i="96"/>
  <c r="R34" i="96"/>
  <c r="R33" i="96"/>
  <c r="R26" i="96"/>
  <c r="R60" i="96"/>
  <c r="R53" i="96"/>
  <c r="R50" i="96"/>
  <c r="R37" i="96"/>
  <c r="R32" i="96"/>
  <c r="R28" i="96"/>
  <c r="R25" i="96"/>
  <c r="P17" i="96"/>
  <c r="R49" i="96"/>
  <c r="R24" i="96"/>
  <c r="R48" i="96"/>
  <c r="R23" i="96"/>
  <c r="R46" i="96"/>
  <c r="R43" i="96"/>
  <c r="R21" i="96"/>
  <c r="F36" i="97"/>
  <c r="F33" i="97"/>
  <c r="F29" i="97"/>
  <c r="F25" i="97"/>
  <c r="D18" i="97"/>
  <c r="F15" i="97"/>
  <c r="L12" i="97"/>
  <c r="F22" i="97"/>
  <c r="F34" i="97"/>
  <c r="F31" i="97"/>
  <c r="F27" i="97"/>
  <c r="F18" i="97"/>
  <c r="F16" i="97"/>
  <c r="F24" i="97"/>
  <c r="F21" i="97"/>
  <c r="F20" i="97"/>
  <c r="L58" i="94"/>
  <c r="X21" i="95"/>
  <c r="F51" i="96"/>
  <c r="F39" i="96"/>
  <c r="F31" i="96"/>
  <c r="F56" i="96"/>
  <c r="F50" i="96"/>
  <c r="F38" i="96"/>
  <c r="F35" i="96"/>
  <c r="F48" i="96"/>
  <c r="F43" i="96"/>
  <c r="F32" i="96"/>
  <c r="F49" i="96"/>
  <c r="F24" i="96"/>
  <c r="F23" i="96"/>
  <c r="D17" i="96"/>
  <c r="F47" i="96"/>
  <c r="F46" i="96"/>
  <c r="F44" i="96"/>
  <c r="F22" i="96"/>
  <c r="F45" i="96"/>
  <c r="F42" i="96"/>
  <c r="F30" i="96"/>
  <c r="F21" i="96"/>
  <c r="F41" i="96"/>
  <c r="F19" i="96"/>
  <c r="F15" i="96"/>
  <c r="L12" i="96"/>
  <c r="F40" i="96"/>
  <c r="F34" i="96"/>
  <c r="F29" i="96"/>
  <c r="F52" i="96"/>
  <c r="F37" i="96"/>
  <c r="F36" i="96"/>
  <c r="F25" i="96"/>
  <c r="F20" i="96"/>
  <c r="L20" i="96"/>
  <c r="N20" i="96" s="1"/>
  <c r="F27" i="96"/>
  <c r="F53" i="96"/>
  <c r="L56" i="96"/>
  <c r="D55" i="96"/>
  <c r="L50" i="94"/>
  <c r="Z71" i="94"/>
  <c r="F26" i="95"/>
  <c r="F20" i="95"/>
  <c r="F16" i="95"/>
  <c r="D16" i="95"/>
  <c r="F31" i="95"/>
  <c r="F24" i="95"/>
  <c r="F21" i="95"/>
  <c r="L12" i="95"/>
  <c r="F28" i="95"/>
  <c r="F22" i="95"/>
  <c r="Z21" i="95"/>
  <c r="T20" i="95"/>
  <c r="R45" i="96"/>
  <c r="H16" i="95"/>
  <c r="J31" i="95"/>
  <c r="J24" i="95"/>
  <c r="J21" i="95"/>
  <c r="J18" i="95"/>
  <c r="J14" i="95"/>
  <c r="N12" i="95"/>
  <c r="J26" i="95"/>
  <c r="J20" i="95"/>
  <c r="J16" i="95"/>
  <c r="X14" i="95"/>
  <c r="F18" i="95"/>
  <c r="N19" i="96"/>
  <c r="Z34" i="97"/>
  <c r="X34" i="97"/>
  <c r="V22" i="95"/>
  <c r="V28" i="95"/>
  <c r="H17" i="96"/>
  <c r="V20" i="96"/>
  <c r="J24" i="96"/>
  <c r="V40" i="96"/>
  <c r="V41" i="96"/>
  <c r="V44" i="96"/>
  <c r="J49" i="96"/>
  <c r="J15" i="97"/>
  <c r="J25" i="97"/>
  <c r="L21" i="98"/>
  <c r="L22" i="98"/>
  <c r="L33" i="98"/>
  <c r="X29" i="99"/>
  <c r="J42" i="96"/>
  <c r="J36" i="96"/>
  <c r="J30" i="96"/>
  <c r="J60" i="96"/>
  <c r="J52" i="96"/>
  <c r="J46" i="96"/>
  <c r="J40" i="96"/>
  <c r="J34" i="96"/>
  <c r="J51" i="96"/>
  <c r="J45" i="96"/>
  <c r="J39" i="96"/>
  <c r="J31" i="96"/>
  <c r="J20" i="96"/>
  <c r="J26" i="96"/>
  <c r="J27" i="96"/>
  <c r="J28" i="96"/>
  <c r="J33" i="96"/>
  <c r="N38" i="96"/>
  <c r="X45" i="96"/>
  <c r="Z45" i="96"/>
  <c r="J53" i="96"/>
  <c r="N56" i="96"/>
  <c r="H55" i="96"/>
  <c r="J20" i="97"/>
  <c r="J16" i="97"/>
  <c r="J34" i="97"/>
  <c r="J31" i="97"/>
  <c r="J27" i="97"/>
  <c r="J21" i="97"/>
  <c r="J22" i="97"/>
  <c r="N12" i="97"/>
  <c r="P16" i="95"/>
  <c r="P20" i="95"/>
  <c r="V21" i="95"/>
  <c r="R26" i="95"/>
  <c r="V15" i="96"/>
  <c r="V19" i="96"/>
  <c r="V23" i="96"/>
  <c r="J38" i="96"/>
  <c r="L43" i="96"/>
  <c r="N43" i="96" s="1"/>
  <c r="V45" i="96"/>
  <c r="V47" i="96"/>
  <c r="V48" i="96"/>
  <c r="V51" i="96"/>
  <c r="J56" i="96"/>
  <c r="R21" i="97"/>
  <c r="R18" i="97"/>
  <c r="R36" i="97"/>
  <c r="R33" i="97"/>
  <c r="R29" i="97"/>
  <c r="R25" i="97"/>
  <c r="P18" i="97"/>
  <c r="R15" i="97"/>
  <c r="X12" i="97"/>
  <c r="R24" i="97"/>
  <c r="R31" i="97"/>
  <c r="J36" i="97"/>
  <c r="L15" i="98"/>
  <c r="L29" i="98"/>
  <c r="V24" i="95"/>
  <c r="V26" i="95"/>
  <c r="V31" i="95"/>
  <c r="N12" i="96"/>
  <c r="V24" i="96"/>
  <c r="J29" i="96"/>
  <c r="J41" i="96"/>
  <c r="V49" i="96"/>
  <c r="X55" i="96"/>
  <c r="Z55" i="96" s="1"/>
  <c r="V36" i="97"/>
  <c r="V33" i="97"/>
  <c r="V29" i="97"/>
  <c r="V25" i="97"/>
  <c r="T18" i="97"/>
  <c r="V15" i="97"/>
  <c r="V22" i="97"/>
  <c r="V34" i="97"/>
  <c r="V31" i="97"/>
  <c r="V27" i="97"/>
  <c r="V18" i="97"/>
  <c r="V16" i="97"/>
  <c r="J29" i="97"/>
  <c r="T16" i="95"/>
  <c r="J15" i="96"/>
  <c r="J19" i="96"/>
  <c r="J21" i="96"/>
  <c r="V25" i="96"/>
  <c r="V27" i="96"/>
  <c r="V28" i="96"/>
  <c r="V31" i="96"/>
  <c r="V32" i="96"/>
  <c r="V36" i="96"/>
  <c r="V37" i="96"/>
  <c r="V39" i="96"/>
  <c r="J43" i="96"/>
  <c r="F34" i="99"/>
  <c r="F31" i="99"/>
  <c r="F27" i="99"/>
  <c r="F24" i="99"/>
  <c r="F21" i="99"/>
  <c r="F36" i="99"/>
  <c r="F33" i="99"/>
  <c r="F29" i="99"/>
  <c r="F25" i="99"/>
  <c r="D18" i="99"/>
  <c r="F15" i="99"/>
  <c r="L12" i="99"/>
  <c r="F20" i="99"/>
  <c r="F16" i="99"/>
  <c r="L20" i="99"/>
  <c r="F22" i="99"/>
  <c r="V16" i="95"/>
  <c r="R22" i="95"/>
  <c r="R28" i="95"/>
  <c r="V60" i="96"/>
  <c r="V46" i="96"/>
  <c r="V34" i="96"/>
  <c r="V56" i="96"/>
  <c r="V50" i="96"/>
  <c r="V42" i="96"/>
  <c r="V38" i="96"/>
  <c r="V30" i="96"/>
  <c r="V26" i="96"/>
  <c r="V43" i="96"/>
  <c r="V35" i="96"/>
  <c r="T17" i="96"/>
  <c r="J22" i="96"/>
  <c r="V33" i="96"/>
  <c r="J44" i="96"/>
  <c r="L47" i="96"/>
  <c r="N47" i="96" s="1"/>
  <c r="X50" i="96"/>
  <c r="Z50" i="96" s="1"/>
  <c r="V52" i="96"/>
  <c r="H18" i="97"/>
  <c r="X21" i="98"/>
  <c r="L25" i="98"/>
  <c r="J21" i="99"/>
  <c r="J18" i="99"/>
  <c r="J36" i="99"/>
  <c r="J33" i="99"/>
  <c r="J29" i="99"/>
  <c r="J25" i="99"/>
  <c r="H18" i="99"/>
  <c r="J15" i="99"/>
  <c r="J34" i="99"/>
  <c r="J31" i="99"/>
  <c r="J27" i="99"/>
  <c r="J24" i="99"/>
  <c r="H20" i="95"/>
  <c r="V17" i="96"/>
  <c r="J23" i="96"/>
  <c r="X29" i="96"/>
  <c r="Z29" i="96" s="1"/>
  <c r="L36" i="96"/>
  <c r="J47" i="96"/>
  <c r="J48" i="96"/>
  <c r="V55" i="96"/>
  <c r="J18" i="97"/>
  <c r="R20" i="97"/>
  <c r="L21" i="97"/>
  <c r="J24" i="97"/>
  <c r="R27" i="97"/>
  <c r="N12" i="99"/>
  <c r="X15" i="99"/>
  <c r="J20" i="99"/>
  <c r="J22" i="99"/>
  <c r="N16" i="97"/>
  <c r="N20" i="97"/>
  <c r="J16" i="98"/>
  <c r="Z16" i="98"/>
  <c r="R18" i="98"/>
  <c r="J20" i="98"/>
  <c r="Z20" i="98"/>
  <c r="F22" i="98"/>
  <c r="N24" i="98"/>
  <c r="Z12" i="99"/>
  <c r="V16" i="99"/>
  <c r="V20" i="99"/>
  <c r="R22" i="99"/>
  <c r="Z24" i="99"/>
  <c r="R25" i="99"/>
  <c r="R29" i="99"/>
  <c r="R33" i="99"/>
  <c r="R36" i="99"/>
  <c r="J15" i="98"/>
  <c r="H18" i="98"/>
  <c r="J25" i="98"/>
  <c r="R27" i="98"/>
  <c r="J29" i="98"/>
  <c r="R31" i="98"/>
  <c r="J33" i="98"/>
  <c r="R34" i="98"/>
  <c r="J36" i="98"/>
  <c r="V15" i="99"/>
  <c r="T18" i="99"/>
  <c r="R21" i="99"/>
  <c r="V25" i="99"/>
  <c r="V29" i="99"/>
  <c r="V33" i="99"/>
  <c r="V36" i="99"/>
  <c r="V21" i="99"/>
  <c r="R27" i="99"/>
  <c r="R31" i="99"/>
  <c r="R34" i="99"/>
  <c r="R16" i="99"/>
  <c r="R20" i="99"/>
  <c r="V24" i="99"/>
  <c r="R15" i="98"/>
  <c r="P18" i="98"/>
  <c r="R25" i="98"/>
  <c r="J27" i="98"/>
  <c r="R29" i="98"/>
  <c r="J31" i="98"/>
  <c r="R33" i="98"/>
  <c r="V27" i="99"/>
  <c r="V31" i="99"/>
  <c r="N18" i="40" l="1"/>
  <c r="N18" i="4"/>
  <c r="X18" i="10"/>
  <c r="N27" i="4"/>
  <c r="Z18" i="17"/>
  <c r="H27" i="37"/>
  <c r="X18" i="16"/>
  <c r="N18" i="20"/>
  <c r="N18" i="43"/>
  <c r="Z18" i="34"/>
  <c r="L18" i="17"/>
  <c r="N18" i="50"/>
  <c r="X18" i="29"/>
  <c r="X18" i="49"/>
  <c r="Z18" i="32"/>
  <c r="L18" i="34"/>
  <c r="N18" i="10"/>
  <c r="Z18" i="28"/>
  <c r="X18" i="14"/>
  <c r="H31" i="52"/>
  <c r="N31" i="52" s="1"/>
  <c r="L18" i="11"/>
  <c r="H31" i="8"/>
  <c r="N18" i="52"/>
  <c r="Z18" i="8"/>
  <c r="N27" i="10"/>
  <c r="X18" i="34"/>
  <c r="N18" i="11"/>
  <c r="X27" i="34"/>
  <c r="X18" i="41"/>
  <c r="N18" i="8"/>
  <c r="H27" i="17"/>
  <c r="L27" i="17" s="1"/>
  <c r="N18" i="17"/>
  <c r="T31" i="8"/>
  <c r="T36" i="8" s="1"/>
  <c r="Z36" i="8" s="1"/>
  <c r="D24" i="95"/>
  <c r="L16" i="95"/>
  <c r="F70" i="91"/>
  <c r="F63" i="91"/>
  <c r="F59" i="91"/>
  <c r="F35" i="91"/>
  <c r="F69" i="91"/>
  <c r="F73" i="91"/>
  <c r="F68" i="91"/>
  <c r="F55" i="91"/>
  <c r="F52" i="91"/>
  <c r="F47" i="91"/>
  <c r="F44" i="91"/>
  <c r="F39" i="91"/>
  <c r="F28" i="91"/>
  <c r="F77" i="91"/>
  <c r="F71" i="91"/>
  <c r="F67" i="91"/>
  <c r="F62" i="91"/>
  <c r="F58" i="91"/>
  <c r="F34" i="91"/>
  <c r="F64" i="91"/>
  <c r="F60" i="91"/>
  <c r="F56" i="91"/>
  <c r="F51" i="91"/>
  <c r="F48" i="91"/>
  <c r="F43" i="91"/>
  <c r="F40" i="91"/>
  <c r="F36" i="91"/>
  <c r="F32" i="91"/>
  <c r="F27" i="91"/>
  <c r="F18" i="91"/>
  <c r="F65" i="91"/>
  <c r="F61" i="91"/>
  <c r="F57" i="91"/>
  <c r="F38" i="91"/>
  <c r="F31" i="91"/>
  <c r="F30" i="91"/>
  <c r="F29" i="91"/>
  <c r="F26" i="91"/>
  <c r="F25" i="91"/>
  <c r="F66" i="91"/>
  <c r="F50" i="91"/>
  <c r="F49" i="91"/>
  <c r="F46" i="91"/>
  <c r="F45" i="91"/>
  <c r="F42" i="91"/>
  <c r="F41" i="91"/>
  <c r="F37" i="91"/>
  <c r="F23" i="91"/>
  <c r="F54" i="91"/>
  <c r="F53" i="91"/>
  <c r="F17" i="91"/>
  <c r="F33" i="91"/>
  <c r="F24" i="91"/>
  <c r="D21" i="91"/>
  <c r="L12" i="91"/>
  <c r="N12" i="91" s="1"/>
  <c r="F19" i="91"/>
  <c r="V86" i="77"/>
  <c r="V82" i="77"/>
  <c r="V70" i="77"/>
  <c r="V62" i="77"/>
  <c r="V89" i="77"/>
  <c r="V81" i="77"/>
  <c r="V69" i="77"/>
  <c r="V61" i="77"/>
  <c r="V88" i="77"/>
  <c r="V72" i="77"/>
  <c r="V97" i="77"/>
  <c r="V91" i="77"/>
  <c r="V75" i="77"/>
  <c r="V71" i="77"/>
  <c r="V63" i="77"/>
  <c r="V90" i="77"/>
  <c r="V78" i="77"/>
  <c r="V74" i="77"/>
  <c r="V66" i="77"/>
  <c r="V58" i="77"/>
  <c r="V85" i="77"/>
  <c r="V77" i="77"/>
  <c r="V73" i="77"/>
  <c r="V65" i="77"/>
  <c r="V57" i="77"/>
  <c r="V67" i="77"/>
  <c r="V59" i="77"/>
  <c r="V52" i="77"/>
  <c r="V44" i="77"/>
  <c r="V36" i="77"/>
  <c r="V60" i="77"/>
  <c r="V51" i="77"/>
  <c r="V35" i="77"/>
  <c r="V68" i="77"/>
  <c r="V50" i="77"/>
  <c r="T41" i="77"/>
  <c r="V54" i="77"/>
  <c r="V53" i="77"/>
  <c r="V49" i="77"/>
  <c r="V87" i="77"/>
  <c r="V83" i="77"/>
  <c r="V55" i="77"/>
  <c r="V48" i="77"/>
  <c r="V79" i="77"/>
  <c r="V64" i="77"/>
  <c r="V56" i="77"/>
  <c r="V47" i="77"/>
  <c r="V43" i="77"/>
  <c r="V39" i="77"/>
  <c r="V80" i="77"/>
  <c r="V45" i="77"/>
  <c r="V37" i="77"/>
  <c r="V84" i="77"/>
  <c r="V38" i="77"/>
  <c r="V46" i="77"/>
  <c r="V76" i="77"/>
  <c r="V93" i="77"/>
  <c r="T27" i="20"/>
  <c r="Z18" i="20"/>
  <c r="X16" i="59"/>
  <c r="P49" i="59"/>
  <c r="L18" i="8"/>
  <c r="D27" i="8"/>
  <c r="T22" i="6"/>
  <c r="Z16" i="6"/>
  <c r="X18" i="98"/>
  <c r="P27" i="98"/>
  <c r="T28" i="92"/>
  <c r="Z16" i="88"/>
  <c r="T30" i="88"/>
  <c r="L16" i="90"/>
  <c r="D44" i="90"/>
  <c r="H75" i="91"/>
  <c r="H36" i="82"/>
  <c r="H69" i="86"/>
  <c r="P45" i="83"/>
  <c r="N20" i="78"/>
  <c r="H28" i="78"/>
  <c r="J71" i="76"/>
  <c r="J65" i="76"/>
  <c r="J45" i="76"/>
  <c r="J39" i="76"/>
  <c r="J33" i="76"/>
  <c r="J29" i="76"/>
  <c r="J23" i="76"/>
  <c r="J62" i="76"/>
  <c r="J50" i="76"/>
  <c r="J36" i="76"/>
  <c r="J32" i="76"/>
  <c r="J28" i="76"/>
  <c r="J20" i="76"/>
  <c r="N12" i="76"/>
  <c r="J76" i="76"/>
  <c r="J69" i="76"/>
  <c r="J57" i="76"/>
  <c r="J53" i="76"/>
  <c r="J47" i="76"/>
  <c r="J41" i="76"/>
  <c r="J27" i="76"/>
  <c r="H20" i="76"/>
  <c r="J64" i="76"/>
  <c r="J44" i="76"/>
  <c r="J38" i="76"/>
  <c r="J26" i="76"/>
  <c r="J18" i="76"/>
  <c r="J61" i="76"/>
  <c r="J49" i="76"/>
  <c r="J35" i="76"/>
  <c r="J31" i="76"/>
  <c r="J25" i="76"/>
  <c r="J17" i="76"/>
  <c r="J60" i="76"/>
  <c r="J56" i="76"/>
  <c r="J52" i="76"/>
  <c r="J46" i="76"/>
  <c r="J40" i="76"/>
  <c r="J24" i="76"/>
  <c r="J22" i="76"/>
  <c r="J58" i="76"/>
  <c r="J54" i="76"/>
  <c r="J48" i="76"/>
  <c r="J42" i="76"/>
  <c r="J34" i="76"/>
  <c r="J30" i="76"/>
  <c r="J16" i="76"/>
  <c r="J73" i="76"/>
  <c r="J67" i="76"/>
  <c r="J63" i="76"/>
  <c r="J37" i="76"/>
  <c r="J55" i="76"/>
  <c r="J43" i="76"/>
  <c r="J59" i="76"/>
  <c r="J51" i="76"/>
  <c r="Z20" i="79"/>
  <c r="T72" i="79"/>
  <c r="L20" i="79"/>
  <c r="D72" i="79"/>
  <c r="J124" i="69"/>
  <c r="J111" i="69"/>
  <c r="J107" i="69"/>
  <c r="J91" i="69"/>
  <c r="J79" i="69"/>
  <c r="J77" i="69"/>
  <c r="J71" i="69"/>
  <c r="J63" i="69"/>
  <c r="J55" i="69"/>
  <c r="J120" i="69"/>
  <c r="J110" i="69"/>
  <c r="J100" i="69"/>
  <c r="J94" i="69"/>
  <c r="J90" i="69"/>
  <c r="J86" i="69"/>
  <c r="J70" i="69"/>
  <c r="J62" i="69"/>
  <c r="J54" i="69"/>
  <c r="J117" i="69"/>
  <c r="J113" i="69"/>
  <c r="J103" i="69"/>
  <c r="J97" i="69"/>
  <c r="J89" i="69"/>
  <c r="J85" i="69"/>
  <c r="J69" i="69"/>
  <c r="J61" i="69"/>
  <c r="J116" i="69"/>
  <c r="J112" i="69"/>
  <c r="J102" i="69"/>
  <c r="J82" i="69"/>
  <c r="H75" i="69"/>
  <c r="J66" i="69"/>
  <c r="J58" i="69"/>
  <c r="J101" i="69"/>
  <c r="J73" i="69"/>
  <c r="J68" i="69"/>
  <c r="J119" i="69"/>
  <c r="J72" i="69"/>
  <c r="J60" i="69"/>
  <c r="J114" i="69"/>
  <c r="J109" i="69"/>
  <c r="J106" i="69"/>
  <c r="J104" i="69"/>
  <c r="J83" i="69"/>
  <c r="J78" i="69"/>
  <c r="J64" i="69"/>
  <c r="J56" i="69"/>
  <c r="J115" i="69"/>
  <c r="J105" i="69"/>
  <c r="J65" i="69"/>
  <c r="J57" i="69"/>
  <c r="J121" i="69"/>
  <c r="J108" i="69"/>
  <c r="J125" i="69"/>
  <c r="J123" i="69"/>
  <c r="J98" i="69"/>
  <c r="J93" i="69"/>
  <c r="J80" i="69"/>
  <c r="J92" i="69"/>
  <c r="J88" i="69"/>
  <c r="J96" i="69"/>
  <c r="J59" i="69"/>
  <c r="J118" i="69"/>
  <c r="J87" i="69"/>
  <c r="J81" i="69"/>
  <c r="J53" i="69"/>
  <c r="J129" i="69"/>
  <c r="J99" i="69"/>
  <c r="J84" i="69"/>
  <c r="J67" i="69"/>
  <c r="J95" i="69"/>
  <c r="F54" i="70"/>
  <c r="F51" i="70"/>
  <c r="F31" i="70"/>
  <c r="F71" i="70"/>
  <c r="F65" i="70"/>
  <c r="F57" i="70"/>
  <c r="F50" i="70"/>
  <c r="F45" i="70"/>
  <c r="F42" i="70"/>
  <c r="F38" i="70"/>
  <c r="F29" i="70"/>
  <c r="F25" i="70"/>
  <c r="F75" i="70"/>
  <c r="F53" i="70"/>
  <c r="F41" i="70"/>
  <c r="F37" i="70"/>
  <c r="F63" i="70"/>
  <c r="F55" i="70"/>
  <c r="F35" i="70"/>
  <c r="F30" i="70"/>
  <c r="F66" i="70"/>
  <c r="F62" i="70"/>
  <c r="F58" i="70"/>
  <c r="F49" i="70"/>
  <c r="F46" i="70"/>
  <c r="F34" i="70"/>
  <c r="F33" i="70"/>
  <c r="F32" i="70"/>
  <c r="F67" i="70"/>
  <c r="F36" i="70"/>
  <c r="F70" i="70"/>
  <c r="F68" i="70"/>
  <c r="D27" i="70"/>
  <c r="F27" i="70" s="1"/>
  <c r="L12" i="70"/>
  <c r="F56" i="70"/>
  <c r="F59" i="70"/>
  <c r="F52" i="70"/>
  <c r="F47" i="70"/>
  <c r="F61" i="70"/>
  <c r="F39" i="70"/>
  <c r="F40" i="70"/>
  <c r="F64" i="70"/>
  <c r="F48" i="70"/>
  <c r="F44" i="70"/>
  <c r="F43" i="70"/>
  <c r="F60" i="70"/>
  <c r="D38" i="63"/>
  <c r="L16" i="63"/>
  <c r="V74" i="64"/>
  <c r="V60" i="64"/>
  <c r="V48" i="64"/>
  <c r="V32" i="64"/>
  <c r="V63" i="64"/>
  <c r="V59" i="64"/>
  <c r="V51" i="64"/>
  <c r="T38" i="64"/>
  <c r="V31" i="64"/>
  <c r="V70" i="64"/>
  <c r="V66" i="64"/>
  <c r="V62" i="64"/>
  <c r="V54" i="64"/>
  <c r="V50" i="64"/>
  <c r="V30" i="64"/>
  <c r="V69" i="64"/>
  <c r="V65" i="64"/>
  <c r="V61" i="64"/>
  <c r="V53" i="64"/>
  <c r="V29" i="64"/>
  <c r="V78" i="64"/>
  <c r="V72" i="64"/>
  <c r="V68" i="64"/>
  <c r="V64" i="64"/>
  <c r="V56" i="64"/>
  <c r="V52" i="64"/>
  <c r="V44" i="64"/>
  <c r="V40" i="64"/>
  <c r="V36" i="64"/>
  <c r="V28" i="64"/>
  <c r="V71" i="64"/>
  <c r="V67" i="64"/>
  <c r="V55" i="64"/>
  <c r="V47" i="64"/>
  <c r="V43" i="64"/>
  <c r="V35" i="64"/>
  <c r="V27" i="64"/>
  <c r="V58" i="64"/>
  <c r="V46" i="64"/>
  <c r="V42" i="64"/>
  <c r="V34" i="64"/>
  <c r="V26" i="64"/>
  <c r="V57" i="64"/>
  <c r="V41" i="64"/>
  <c r="V49" i="64"/>
  <c r="V45" i="64"/>
  <c r="V33" i="64"/>
  <c r="R109" i="66"/>
  <c r="R105" i="66"/>
  <c r="R98" i="66"/>
  <c r="R94" i="66"/>
  <c r="R91" i="66"/>
  <c r="R87" i="66"/>
  <c r="R82" i="66"/>
  <c r="R79" i="66"/>
  <c r="R74" i="66"/>
  <c r="R70" i="66"/>
  <c r="R58" i="66"/>
  <c r="R50" i="66"/>
  <c r="R97" i="66"/>
  <c r="R69" i="66"/>
  <c r="R57" i="66"/>
  <c r="R54" i="66"/>
  <c r="R49" i="66"/>
  <c r="R41" i="66"/>
  <c r="R103" i="66"/>
  <c r="R100" i="66"/>
  <c r="R93" i="66"/>
  <c r="R84" i="66"/>
  <c r="R81" i="66"/>
  <c r="R76" i="66"/>
  <c r="R73" i="66"/>
  <c r="R68" i="66"/>
  <c r="R64" i="66"/>
  <c r="R99" i="66"/>
  <c r="R90" i="66"/>
  <c r="R86" i="66"/>
  <c r="R83" i="66"/>
  <c r="R78" i="66"/>
  <c r="R75" i="66"/>
  <c r="R104" i="66"/>
  <c r="R89" i="66"/>
  <c r="R77" i="66"/>
  <c r="P52" i="66"/>
  <c r="R47" i="66"/>
  <c r="R88" i="66"/>
  <c r="R56" i="66"/>
  <c r="R55" i="66"/>
  <c r="R46" i="66"/>
  <c r="X12" i="66"/>
  <c r="R102" i="66"/>
  <c r="R92" i="66"/>
  <c r="R45" i="66"/>
  <c r="R44" i="66"/>
  <c r="R43" i="66"/>
  <c r="R40" i="66"/>
  <c r="R80" i="66"/>
  <c r="R60" i="66"/>
  <c r="R59" i="66"/>
  <c r="R42" i="66"/>
  <c r="R39" i="66"/>
  <c r="R38" i="66"/>
  <c r="R71" i="66"/>
  <c r="R61" i="66"/>
  <c r="R37" i="66"/>
  <c r="R96" i="66"/>
  <c r="R63" i="66"/>
  <c r="R62" i="66"/>
  <c r="R36" i="66"/>
  <c r="R95" i="66"/>
  <c r="R85" i="66"/>
  <c r="R72" i="66"/>
  <c r="R67" i="66"/>
  <c r="R66" i="66"/>
  <c r="R65" i="66"/>
  <c r="R52" i="66"/>
  <c r="R48" i="66"/>
  <c r="J78" i="64"/>
  <c r="J72" i="64"/>
  <c r="J68" i="64"/>
  <c r="J56" i="64"/>
  <c r="J50" i="64"/>
  <c r="J44" i="64"/>
  <c r="J36" i="64"/>
  <c r="J28" i="64"/>
  <c r="J61" i="64"/>
  <c r="J47" i="64"/>
  <c r="J43" i="64"/>
  <c r="J35" i="64"/>
  <c r="J27" i="64"/>
  <c r="J64" i="64"/>
  <c r="J58" i="64"/>
  <c r="J52" i="64"/>
  <c r="J46" i="64"/>
  <c r="J42" i="64"/>
  <c r="J40" i="64"/>
  <c r="J34" i="64"/>
  <c r="J71" i="64"/>
  <c r="J67" i="64"/>
  <c r="J55" i="64"/>
  <c r="J49" i="64"/>
  <c r="J33" i="64"/>
  <c r="J60" i="64"/>
  <c r="J32" i="64"/>
  <c r="J26" i="64"/>
  <c r="J63" i="64"/>
  <c r="J57" i="64"/>
  <c r="J51" i="64"/>
  <c r="J45" i="64"/>
  <c r="J41" i="64"/>
  <c r="J31" i="64"/>
  <c r="J74" i="64"/>
  <c r="J70" i="64"/>
  <c r="J66" i="64"/>
  <c r="J62" i="64"/>
  <c r="J54" i="64"/>
  <c r="J48" i="64"/>
  <c r="J30" i="64"/>
  <c r="J65" i="64"/>
  <c r="J69" i="64"/>
  <c r="J53" i="64"/>
  <c r="J29" i="64"/>
  <c r="J59" i="64"/>
  <c r="H38" i="64"/>
  <c r="J38" i="64" s="1"/>
  <c r="D27" i="53"/>
  <c r="L18" i="53"/>
  <c r="T27" i="47"/>
  <c r="Z18" i="47"/>
  <c r="H30" i="55"/>
  <c r="N16" i="55"/>
  <c r="Z16" i="57"/>
  <c r="T59" i="57"/>
  <c r="L18" i="43"/>
  <c r="D27" i="43"/>
  <c r="P57" i="56"/>
  <c r="X16" i="56"/>
  <c r="P27" i="52"/>
  <c r="X18" i="52"/>
  <c r="J79" i="45"/>
  <c r="J75" i="45"/>
  <c r="J69" i="45"/>
  <c r="J65" i="45"/>
  <c r="J61" i="45"/>
  <c r="J53" i="45"/>
  <c r="J45" i="45"/>
  <c r="J39" i="45"/>
  <c r="J27" i="45"/>
  <c r="J19" i="45"/>
  <c r="J86" i="45"/>
  <c r="J74" i="45"/>
  <c r="J58" i="45"/>
  <c r="J50" i="45"/>
  <c r="J42" i="45"/>
  <c r="J38" i="45"/>
  <c r="J26" i="45"/>
  <c r="J18" i="45"/>
  <c r="J81" i="45"/>
  <c r="J73" i="45"/>
  <c r="J55" i="45"/>
  <c r="J47" i="45"/>
  <c r="J37" i="45"/>
  <c r="J33" i="45"/>
  <c r="J25" i="45"/>
  <c r="J23" i="45"/>
  <c r="J90" i="45"/>
  <c r="J84" i="45"/>
  <c r="J78" i="45"/>
  <c r="J72" i="45"/>
  <c r="J68" i="45"/>
  <c r="J64" i="45"/>
  <c r="J60" i="45"/>
  <c r="J52" i="45"/>
  <c r="J44" i="45"/>
  <c r="J36" i="45"/>
  <c r="J32" i="45"/>
  <c r="J83" i="45"/>
  <c r="J71" i="45"/>
  <c r="J67" i="45"/>
  <c r="J63" i="45"/>
  <c r="J57" i="45"/>
  <c r="J49" i="45"/>
  <c r="J41" i="45"/>
  <c r="J35" i="45"/>
  <c r="J31" i="45"/>
  <c r="J17" i="45"/>
  <c r="J80" i="45"/>
  <c r="J70" i="45"/>
  <c r="J66" i="45"/>
  <c r="J62" i="45"/>
  <c r="J54" i="45"/>
  <c r="J46" i="45"/>
  <c r="J30" i="45"/>
  <c r="J24" i="45"/>
  <c r="J77" i="45"/>
  <c r="J59" i="45"/>
  <c r="J51" i="45"/>
  <c r="J43" i="45"/>
  <c r="J76" i="45"/>
  <c r="J40" i="45"/>
  <c r="J56" i="45"/>
  <c r="J34" i="45"/>
  <c r="J28" i="45"/>
  <c r="H21" i="45"/>
  <c r="J82" i="45"/>
  <c r="J29" i="45"/>
  <c r="J48" i="45"/>
  <c r="L18" i="41"/>
  <c r="D27" i="41"/>
  <c r="H27" i="32"/>
  <c r="N18" i="32"/>
  <c r="F103" i="36"/>
  <c r="F98" i="36"/>
  <c r="F82" i="36"/>
  <c r="F49" i="36"/>
  <c r="F46" i="36"/>
  <c r="F38" i="36"/>
  <c r="F34" i="36"/>
  <c r="F25" i="36"/>
  <c r="F107" i="36"/>
  <c r="F92" i="36"/>
  <c r="F89" i="36"/>
  <c r="F68" i="36"/>
  <c r="F65" i="36"/>
  <c r="F60" i="36"/>
  <c r="F57" i="36"/>
  <c r="F52" i="36"/>
  <c r="F37" i="36"/>
  <c r="F33" i="36"/>
  <c r="F101" i="36"/>
  <c r="F88" i="36"/>
  <c r="F79" i="36"/>
  <c r="F48" i="36"/>
  <c r="F43" i="36"/>
  <c r="F32" i="36"/>
  <c r="F19" i="36"/>
  <c r="F97" i="36"/>
  <c r="F86" i="36"/>
  <c r="F81" i="36"/>
  <c r="F78" i="36"/>
  <c r="F50" i="36"/>
  <c r="F45" i="36"/>
  <c r="F42" i="36"/>
  <c r="F30" i="36"/>
  <c r="F102" i="36"/>
  <c r="F93" i="36"/>
  <c r="F85" i="36"/>
  <c r="F77" i="36"/>
  <c r="F73" i="36"/>
  <c r="F69" i="36"/>
  <c r="F64" i="36"/>
  <c r="F61" i="36"/>
  <c r="F56" i="36"/>
  <c r="F53" i="36"/>
  <c r="F41" i="36"/>
  <c r="F36" i="36"/>
  <c r="F29" i="36"/>
  <c r="D23" i="36"/>
  <c r="F23" i="36" s="1"/>
  <c r="F21" i="36"/>
  <c r="F96" i="36"/>
  <c r="F84" i="36"/>
  <c r="F80" i="36"/>
  <c r="F76" i="36"/>
  <c r="F72" i="36"/>
  <c r="F47" i="36"/>
  <c r="F44" i="36"/>
  <c r="F40" i="36"/>
  <c r="F28" i="36"/>
  <c r="F20" i="36"/>
  <c r="L12" i="36"/>
  <c r="F100" i="36"/>
  <c r="F91" i="36"/>
  <c r="F90" i="36"/>
  <c r="F70" i="36"/>
  <c r="F27" i="36"/>
  <c r="F83" i="36"/>
  <c r="F74" i="36"/>
  <c r="F71" i="36"/>
  <c r="F51" i="36"/>
  <c r="F75" i="36"/>
  <c r="F67" i="36"/>
  <c r="F66" i="36"/>
  <c r="F62" i="36"/>
  <c r="F63" i="36"/>
  <c r="F94" i="36"/>
  <c r="F59" i="36"/>
  <c r="F58" i="36"/>
  <c r="F35" i="36"/>
  <c r="F95" i="36"/>
  <c r="F87" i="36"/>
  <c r="F39" i="36"/>
  <c r="F54" i="36"/>
  <c r="F55" i="36"/>
  <c r="F26" i="36"/>
  <c r="F31" i="36"/>
  <c r="H31" i="34"/>
  <c r="L31" i="34" s="1"/>
  <c r="N27" i="34"/>
  <c r="T105" i="36"/>
  <c r="V23" i="36"/>
  <c r="T27" i="26"/>
  <c r="X27" i="26" s="1"/>
  <c r="Z18" i="26"/>
  <c r="H27" i="28"/>
  <c r="L27" i="28" s="1"/>
  <c r="N18" i="28"/>
  <c r="V128" i="30"/>
  <c r="V124" i="30"/>
  <c r="V120" i="30"/>
  <c r="V108" i="30"/>
  <c r="V104" i="30"/>
  <c r="V96" i="30"/>
  <c r="V88" i="30"/>
  <c r="V84" i="30"/>
  <c r="T75" i="30"/>
  <c r="V68" i="30"/>
  <c r="V60" i="30"/>
  <c r="V137" i="30"/>
  <c r="V131" i="30"/>
  <c r="V127" i="30"/>
  <c r="V123" i="30"/>
  <c r="V111" i="30"/>
  <c r="V107" i="30"/>
  <c r="V95" i="30"/>
  <c r="V87" i="30"/>
  <c r="V83" i="30"/>
  <c r="V67" i="30"/>
  <c r="V59" i="30"/>
  <c r="V130" i="30"/>
  <c r="V126" i="30"/>
  <c r="V110" i="30"/>
  <c r="V98" i="30"/>
  <c r="V82" i="30"/>
  <c r="V66" i="30"/>
  <c r="V58" i="30"/>
  <c r="V143" i="30"/>
  <c r="V133" i="30"/>
  <c r="V125" i="30"/>
  <c r="V113" i="30"/>
  <c r="V109" i="30"/>
  <c r="V101" i="30"/>
  <c r="V97" i="30"/>
  <c r="V81" i="30"/>
  <c r="V77" i="30"/>
  <c r="V73" i="30"/>
  <c r="V65" i="30"/>
  <c r="V57" i="30"/>
  <c r="V138" i="30"/>
  <c r="V132" i="30"/>
  <c r="V116" i="30"/>
  <c r="V112" i="30"/>
  <c r="V100" i="30"/>
  <c r="V92" i="30"/>
  <c r="V80" i="30"/>
  <c r="V72" i="30"/>
  <c r="V64" i="30"/>
  <c r="V56" i="30"/>
  <c r="V135" i="30"/>
  <c r="V119" i="30"/>
  <c r="V115" i="30"/>
  <c r="V103" i="30"/>
  <c r="V99" i="30"/>
  <c r="V91" i="30"/>
  <c r="V79" i="30"/>
  <c r="V71" i="30"/>
  <c r="V63" i="30"/>
  <c r="V55" i="30"/>
  <c r="V121" i="30"/>
  <c r="V117" i="30"/>
  <c r="V85" i="30"/>
  <c r="V78" i="30"/>
  <c r="V70" i="30"/>
  <c r="V61" i="30"/>
  <c r="V122" i="30"/>
  <c r="V118" i="30"/>
  <c r="V114" i="30"/>
  <c r="V93" i="30"/>
  <c r="V89" i="30"/>
  <c r="V86" i="30"/>
  <c r="V53" i="30"/>
  <c r="V134" i="30"/>
  <c r="V105" i="30"/>
  <c r="V62" i="30"/>
  <c r="V129" i="30"/>
  <c r="V102" i="30"/>
  <c r="V94" i="30"/>
  <c r="V90" i="30"/>
  <c r="V54" i="30"/>
  <c r="V139" i="30"/>
  <c r="V106" i="30"/>
  <c r="V75" i="30"/>
  <c r="V69" i="30"/>
  <c r="P31" i="26"/>
  <c r="L18" i="26"/>
  <c r="D27" i="26"/>
  <c r="P31" i="22"/>
  <c r="Z18" i="19"/>
  <c r="T27" i="19"/>
  <c r="T27" i="13"/>
  <c r="Z18" i="13"/>
  <c r="V195" i="15"/>
  <c r="V191" i="15"/>
  <c r="V179" i="15"/>
  <c r="V171" i="15"/>
  <c r="V167" i="15"/>
  <c r="V163" i="15"/>
  <c r="V151" i="15"/>
  <c r="V139" i="15"/>
  <c r="V200" i="15"/>
  <c r="V162" i="15"/>
  <c r="V154" i="15"/>
  <c r="V150" i="15"/>
  <c r="V185" i="15"/>
  <c r="V153" i="15"/>
  <c r="V145" i="15"/>
  <c r="V141" i="15"/>
  <c r="V201" i="15"/>
  <c r="V187" i="15"/>
  <c r="V183" i="15"/>
  <c r="V175" i="15"/>
  <c r="V159" i="15"/>
  <c r="V155" i="15"/>
  <c r="V147" i="15"/>
  <c r="V143" i="15"/>
  <c r="V135" i="15"/>
  <c r="V194" i="15"/>
  <c r="V190" i="15"/>
  <c r="V186" i="15"/>
  <c r="V182" i="15"/>
  <c r="V178" i="15"/>
  <c r="V174" i="15"/>
  <c r="V170" i="15"/>
  <c r="V166" i="15"/>
  <c r="V158" i="15"/>
  <c r="V199" i="15"/>
  <c r="V193" i="15"/>
  <c r="V189" i="15"/>
  <c r="V181" i="15"/>
  <c r="V177" i="15"/>
  <c r="V173" i="15"/>
  <c r="V169" i="15"/>
  <c r="V202" i="15"/>
  <c r="V196" i="15"/>
  <c r="V192" i="15"/>
  <c r="V180" i="15"/>
  <c r="V176" i="15"/>
  <c r="V172" i="15"/>
  <c r="V168" i="15"/>
  <c r="V164" i="15"/>
  <c r="V160" i="15"/>
  <c r="V152" i="15"/>
  <c r="V148" i="15"/>
  <c r="V136" i="15"/>
  <c r="V140" i="15"/>
  <c r="V138" i="15"/>
  <c r="V126" i="15"/>
  <c r="V122" i="15"/>
  <c r="V106" i="15"/>
  <c r="V98" i="15"/>
  <c r="V90" i="15"/>
  <c r="V82" i="15"/>
  <c r="V149" i="15"/>
  <c r="V133" i="15"/>
  <c r="V121" i="15"/>
  <c r="T112" i="15"/>
  <c r="V105" i="15"/>
  <c r="V97" i="15"/>
  <c r="V89" i="15"/>
  <c r="V81" i="15"/>
  <c r="V132" i="15"/>
  <c r="V120" i="15"/>
  <c r="V104" i="15"/>
  <c r="V96" i="15"/>
  <c r="V88" i="15"/>
  <c r="V80" i="15"/>
  <c r="V184" i="15"/>
  <c r="V137" i="15"/>
  <c r="V131" i="15"/>
  <c r="V119" i="15"/>
  <c r="V103" i="15"/>
  <c r="V95" i="15"/>
  <c r="V87" i="15"/>
  <c r="V79" i="15"/>
  <c r="V157" i="15"/>
  <c r="V142" i="15"/>
  <c r="V130" i="15"/>
  <c r="V118" i="15"/>
  <c r="V114" i="15"/>
  <c r="V110" i="15"/>
  <c r="V102" i="15"/>
  <c r="V94" i="15"/>
  <c r="V86" i="15"/>
  <c r="V78" i="15"/>
  <c r="V161" i="15"/>
  <c r="V146" i="15"/>
  <c r="V134" i="15"/>
  <c r="V129" i="15"/>
  <c r="V125" i="15"/>
  <c r="V117" i="15"/>
  <c r="V109" i="15"/>
  <c r="V101" i="15"/>
  <c r="V93" i="15"/>
  <c r="V85" i="15"/>
  <c r="V77" i="15"/>
  <c r="V198" i="15"/>
  <c r="V156" i="15"/>
  <c r="V128" i="15"/>
  <c r="V124" i="15"/>
  <c r="V116" i="15"/>
  <c r="V108" i="15"/>
  <c r="V100" i="15"/>
  <c r="V92" i="15"/>
  <c r="V84" i="15"/>
  <c r="V76" i="15"/>
  <c r="V206" i="15"/>
  <c r="V188" i="15"/>
  <c r="V127" i="15"/>
  <c r="V115" i="15"/>
  <c r="V165" i="15"/>
  <c r="V144" i="15"/>
  <c r="V107" i="15"/>
  <c r="V99" i="15"/>
  <c r="V83" i="15"/>
  <c r="V123" i="15"/>
  <c r="V91" i="15"/>
  <c r="R199" i="15"/>
  <c r="R196" i="15"/>
  <c r="R192" i="15"/>
  <c r="R189" i="15"/>
  <c r="R180" i="15"/>
  <c r="R172" i="15"/>
  <c r="R168" i="15"/>
  <c r="R164" i="15"/>
  <c r="R157" i="15"/>
  <c r="R152" i="15"/>
  <c r="R202" i="15"/>
  <c r="R176" i="15"/>
  <c r="R163" i="15"/>
  <c r="R160" i="15"/>
  <c r="R151" i="15"/>
  <c r="R148" i="15"/>
  <c r="R195" i="15"/>
  <c r="R191" i="15"/>
  <c r="R179" i="15"/>
  <c r="R171" i="15"/>
  <c r="R167" i="15"/>
  <c r="R154" i="15"/>
  <c r="R142" i="15"/>
  <c r="R206" i="15"/>
  <c r="R188" i="15"/>
  <c r="R184" i="15"/>
  <c r="R156" i="15"/>
  <c r="R153" i="15"/>
  <c r="R144" i="15"/>
  <c r="R198" i="15"/>
  <c r="R187" i="15"/>
  <c r="R183" i="15"/>
  <c r="R175" i="15"/>
  <c r="R159" i="15"/>
  <c r="R201" i="15"/>
  <c r="R194" i="15"/>
  <c r="R190" i="15"/>
  <c r="R182" i="15"/>
  <c r="R178" i="15"/>
  <c r="R174" i="15"/>
  <c r="R170" i="15"/>
  <c r="R193" i="15"/>
  <c r="R186" i="15"/>
  <c r="R181" i="15"/>
  <c r="R177" i="15"/>
  <c r="R173" i="15"/>
  <c r="R169" i="15"/>
  <c r="R165" i="15"/>
  <c r="R161" i="15"/>
  <c r="R149" i="15"/>
  <c r="R146" i="15"/>
  <c r="R137" i="15"/>
  <c r="R134" i="15"/>
  <c r="R145" i="15"/>
  <c r="R127" i="15"/>
  <c r="R123" i="15"/>
  <c r="R107" i="15"/>
  <c r="R99" i="15"/>
  <c r="R91" i="15"/>
  <c r="R83" i="15"/>
  <c r="R76" i="15"/>
  <c r="R200" i="15"/>
  <c r="R150" i="15"/>
  <c r="R122" i="15"/>
  <c r="R115" i="15"/>
  <c r="R106" i="15"/>
  <c r="R98" i="15"/>
  <c r="R90" i="15"/>
  <c r="R82" i="15"/>
  <c r="R166" i="15"/>
  <c r="R140" i="15"/>
  <c r="R138" i="15"/>
  <c r="R133" i="15"/>
  <c r="R126" i="15"/>
  <c r="R121" i="15"/>
  <c r="R105" i="15"/>
  <c r="R97" i="15"/>
  <c r="R89" i="15"/>
  <c r="R81" i="15"/>
  <c r="R155" i="15"/>
  <c r="R141" i="15"/>
  <c r="R139" i="15"/>
  <c r="R132" i="15"/>
  <c r="R120" i="15"/>
  <c r="P112" i="15"/>
  <c r="R104" i="15"/>
  <c r="R96" i="15"/>
  <c r="R88" i="15"/>
  <c r="R80" i="15"/>
  <c r="R136" i="15"/>
  <c r="R131" i="15"/>
  <c r="R119" i="15"/>
  <c r="R103" i="15"/>
  <c r="R95" i="15"/>
  <c r="R87" i="15"/>
  <c r="R79" i="15"/>
  <c r="R143" i="15"/>
  <c r="R135" i="15"/>
  <c r="R130" i="15"/>
  <c r="R118" i="15"/>
  <c r="R110" i="15"/>
  <c r="R102" i="15"/>
  <c r="R94" i="15"/>
  <c r="R86" i="15"/>
  <c r="R78" i="15"/>
  <c r="R185" i="15"/>
  <c r="R162" i="15"/>
  <c r="R129" i="15"/>
  <c r="R125" i="15"/>
  <c r="R117" i="15"/>
  <c r="R114" i="15"/>
  <c r="R109" i="15"/>
  <c r="R101" i="15"/>
  <c r="R93" i="15"/>
  <c r="R85" i="15"/>
  <c r="R77" i="15"/>
  <c r="R124" i="15"/>
  <c r="R116" i="15"/>
  <c r="R92" i="15"/>
  <c r="R158" i="15"/>
  <c r="R128" i="15"/>
  <c r="R108" i="15"/>
  <c r="R147" i="15"/>
  <c r="R100" i="15"/>
  <c r="X12" i="15"/>
  <c r="Z12" i="15" s="1"/>
  <c r="R84" i="15"/>
  <c r="X18" i="7"/>
  <c r="P27" i="7"/>
  <c r="P27" i="11"/>
  <c r="X18" i="11"/>
  <c r="D22" i="6"/>
  <c r="L16" i="6"/>
  <c r="V254" i="3"/>
  <c r="V250" i="3"/>
  <c r="V242" i="3"/>
  <c r="V236" i="3"/>
  <c r="V232" i="3"/>
  <c r="V220" i="3"/>
  <c r="V212" i="3"/>
  <c r="V192" i="3"/>
  <c r="V184" i="3"/>
  <c r="V180" i="3"/>
  <c r="V172" i="3"/>
  <c r="V168" i="3"/>
  <c r="V156" i="3"/>
  <c r="V152" i="3"/>
  <c r="V142" i="3"/>
  <c r="V136" i="3"/>
  <c r="V128" i="3"/>
  <c r="V120" i="3"/>
  <c r="V112" i="3"/>
  <c r="V104" i="3"/>
  <c r="V96" i="3"/>
  <c r="V193" i="3"/>
  <c r="V129" i="3"/>
  <c r="V97" i="3"/>
  <c r="V245" i="3"/>
  <c r="V235" i="3"/>
  <c r="V231" i="3"/>
  <c r="V219" i="3"/>
  <c r="V215" i="3"/>
  <c r="V211" i="3"/>
  <c r="V195" i="3"/>
  <c r="V191" i="3"/>
  <c r="V183" i="3"/>
  <c r="V175" i="3"/>
  <c r="V171" i="3"/>
  <c r="V163" i="3"/>
  <c r="V151" i="3"/>
  <c r="T142" i="3"/>
  <c r="V135" i="3"/>
  <c r="V127" i="3"/>
  <c r="V119" i="3"/>
  <c r="V111" i="3"/>
  <c r="V103" i="3"/>
  <c r="Z12" i="3"/>
  <c r="V137" i="3"/>
  <c r="V105" i="3"/>
  <c r="V240" i="3"/>
  <c r="V218" i="3"/>
  <c r="V214" i="3"/>
  <c r="V210" i="3"/>
  <c r="V206" i="3"/>
  <c r="V202" i="3"/>
  <c r="V194" i="3"/>
  <c r="V186" i="3"/>
  <c r="V182" i="3"/>
  <c r="V174" i="3"/>
  <c r="V170" i="3"/>
  <c r="V162" i="3"/>
  <c r="V150" i="3"/>
  <c r="V134" i="3"/>
  <c r="V126" i="3"/>
  <c r="V118" i="3"/>
  <c r="V110" i="3"/>
  <c r="V102" i="3"/>
  <c r="V229" i="3"/>
  <c r="V121" i="3"/>
  <c r="V243" i="3"/>
  <c r="V225" i="3"/>
  <c r="V217" i="3"/>
  <c r="V213" i="3"/>
  <c r="V209" i="3"/>
  <c r="V205" i="3"/>
  <c r="V201" i="3"/>
  <c r="V197" i="3"/>
  <c r="V185" i="3"/>
  <c r="V177" i="3"/>
  <c r="V173" i="3"/>
  <c r="V165" i="3"/>
  <c r="V161" i="3"/>
  <c r="V149" i="3"/>
  <c r="V133" i="3"/>
  <c r="V125" i="3"/>
  <c r="V117" i="3"/>
  <c r="V109" i="3"/>
  <c r="V101" i="3"/>
  <c r="V181" i="3"/>
  <c r="V169" i="3"/>
  <c r="V157" i="3"/>
  <c r="V255" i="3"/>
  <c r="V246" i="3"/>
  <c r="V238" i="3"/>
  <c r="V228" i="3"/>
  <c r="V224" i="3"/>
  <c r="V216" i="3"/>
  <c r="V208" i="3"/>
  <c r="V204" i="3"/>
  <c r="V200" i="3"/>
  <c r="V196" i="3"/>
  <c r="V188" i="3"/>
  <c r="V176" i="3"/>
  <c r="V164" i="3"/>
  <c r="V160" i="3"/>
  <c r="V148" i="3"/>
  <c r="V144" i="3"/>
  <c r="V140" i="3"/>
  <c r="V132" i="3"/>
  <c r="V124" i="3"/>
  <c r="V116" i="3"/>
  <c r="V108" i="3"/>
  <c r="V100" i="3"/>
  <c r="V189" i="3"/>
  <c r="V113" i="3"/>
  <c r="V241" i="3"/>
  <c r="V227" i="3"/>
  <c r="V223" i="3"/>
  <c r="V207" i="3"/>
  <c r="V203" i="3"/>
  <c r="V199" i="3"/>
  <c r="V187" i="3"/>
  <c r="V179" i="3"/>
  <c r="V167" i="3"/>
  <c r="V159" i="3"/>
  <c r="V155" i="3"/>
  <c r="V147" i="3"/>
  <c r="V139" i="3"/>
  <c r="V131" i="3"/>
  <c r="V123" i="3"/>
  <c r="V115" i="3"/>
  <c r="V107" i="3"/>
  <c r="V99" i="3"/>
  <c r="V239" i="3"/>
  <c r="V145" i="3"/>
  <c r="V244" i="3"/>
  <c r="V234" i="3"/>
  <c r="V230" i="3"/>
  <c r="V226" i="3"/>
  <c r="V222" i="3"/>
  <c r="V198" i="3"/>
  <c r="V190" i="3"/>
  <c r="V178" i="3"/>
  <c r="V166" i="3"/>
  <c r="V158" i="3"/>
  <c r="V154" i="3"/>
  <c r="V146" i="3"/>
  <c r="V138" i="3"/>
  <c r="V130" i="3"/>
  <c r="V122" i="3"/>
  <c r="V114" i="3"/>
  <c r="V106" i="3"/>
  <c r="V98" i="3"/>
  <c r="V233" i="3"/>
  <c r="V221" i="3"/>
  <c r="V153" i="3"/>
  <c r="Z16" i="83"/>
  <c r="T38" i="83"/>
  <c r="H98" i="62"/>
  <c r="R99" i="39"/>
  <c r="R96" i="39"/>
  <c r="R93" i="39"/>
  <c r="R84" i="39"/>
  <c r="R81" i="39"/>
  <c r="R61" i="39"/>
  <c r="R56" i="39"/>
  <c r="R36" i="39"/>
  <c r="R28" i="39"/>
  <c r="X12" i="39"/>
  <c r="R105" i="39"/>
  <c r="R76" i="39"/>
  <c r="R72" i="39"/>
  <c r="R67" i="39"/>
  <c r="R64" i="39"/>
  <c r="R55" i="39"/>
  <c r="R52" i="39"/>
  <c r="R47" i="39"/>
  <c r="R35" i="39"/>
  <c r="R32" i="39"/>
  <c r="R27" i="39"/>
  <c r="R95" i="39"/>
  <c r="R90" i="39"/>
  <c r="R83" i="39"/>
  <c r="R58" i="39"/>
  <c r="R46" i="39"/>
  <c r="R34" i="39"/>
  <c r="R92" i="39"/>
  <c r="R88" i="39"/>
  <c r="R80" i="39"/>
  <c r="R60" i="39"/>
  <c r="R57" i="39"/>
  <c r="R44" i="39"/>
  <c r="R40" i="39"/>
  <c r="R33" i="39"/>
  <c r="R98" i="39"/>
  <c r="R87" i="39"/>
  <c r="R79" i="39"/>
  <c r="R75" i="39"/>
  <c r="R71" i="39"/>
  <c r="R68" i="39"/>
  <c r="R63" i="39"/>
  <c r="R51" i="39"/>
  <c r="R48" i="39"/>
  <c r="R43" i="39"/>
  <c r="R39" i="39"/>
  <c r="R101" i="39"/>
  <c r="R94" i="39"/>
  <c r="R91" i="39"/>
  <c r="R86" i="39"/>
  <c r="R82" i="39"/>
  <c r="R78" i="39"/>
  <c r="R74" i="39"/>
  <c r="R62" i="39"/>
  <c r="R59" i="39"/>
  <c r="R38" i="39"/>
  <c r="P30" i="39"/>
  <c r="R100" i="39"/>
  <c r="R69" i="39"/>
  <c r="R41" i="39"/>
  <c r="R89" i="39"/>
  <c r="R70" i="39"/>
  <c r="R66" i="39"/>
  <c r="R65" i="39"/>
  <c r="R42" i="39"/>
  <c r="R37" i="39"/>
  <c r="R45" i="39"/>
  <c r="R54" i="39"/>
  <c r="R53" i="39"/>
  <c r="R73" i="39"/>
  <c r="R49" i="39"/>
  <c r="R26" i="39"/>
  <c r="R85" i="39"/>
  <c r="R77" i="39"/>
  <c r="R50" i="39"/>
  <c r="H36" i="10"/>
  <c r="N36" i="10" s="1"/>
  <c r="N31" i="10"/>
  <c r="P41" i="89"/>
  <c r="D66" i="86"/>
  <c r="L62" i="86"/>
  <c r="N62" i="86" s="1"/>
  <c r="Z17" i="86"/>
  <c r="T62" i="86"/>
  <c r="N20" i="79"/>
  <c r="H72" i="79"/>
  <c r="T42" i="74"/>
  <c r="T70" i="81"/>
  <c r="L20" i="76"/>
  <c r="D69" i="76"/>
  <c r="D70" i="81"/>
  <c r="V66" i="70"/>
  <c r="V62" i="70"/>
  <c r="V58" i="70"/>
  <c r="V54" i="70"/>
  <c r="V46" i="70"/>
  <c r="V34" i="70"/>
  <c r="V71" i="70"/>
  <c r="V65" i="70"/>
  <c r="V61" i="70"/>
  <c r="V57" i="70"/>
  <c r="V45" i="70"/>
  <c r="V33" i="70"/>
  <c r="V29" i="70"/>
  <c r="V25" i="70"/>
  <c r="V68" i="70"/>
  <c r="V60" i="70"/>
  <c r="V48" i="70"/>
  <c r="V32" i="70"/>
  <c r="V50" i="70"/>
  <c r="V42" i="70"/>
  <c r="V38" i="70"/>
  <c r="V30" i="70"/>
  <c r="V75" i="70"/>
  <c r="V53" i="70"/>
  <c r="V49" i="70"/>
  <c r="V41" i="70"/>
  <c r="V37" i="70"/>
  <c r="V27" i="70"/>
  <c r="V59" i="70"/>
  <c r="V52" i="70"/>
  <c r="V47" i="70"/>
  <c r="V44" i="70"/>
  <c r="V63" i="70"/>
  <c r="V51" i="70"/>
  <c r="V39" i="70"/>
  <c r="V64" i="70"/>
  <c r="V40" i="70"/>
  <c r="V31" i="70"/>
  <c r="V36" i="70"/>
  <c r="V55" i="70"/>
  <c r="T27" i="70"/>
  <c r="V70" i="70"/>
  <c r="V56" i="70"/>
  <c r="V35" i="70"/>
  <c r="V67" i="70"/>
  <c r="V43" i="70"/>
  <c r="R125" i="69"/>
  <c r="R116" i="69"/>
  <c r="R109" i="69"/>
  <c r="R96" i="69"/>
  <c r="R93" i="69"/>
  <c r="R88" i="69"/>
  <c r="R84" i="69"/>
  <c r="R75" i="69"/>
  <c r="R68" i="69"/>
  <c r="R60" i="69"/>
  <c r="R53" i="69"/>
  <c r="X12" i="69"/>
  <c r="R119" i="69"/>
  <c r="R115" i="69"/>
  <c r="R112" i="69"/>
  <c r="R99" i="69"/>
  <c r="R83" i="69"/>
  <c r="P75" i="69"/>
  <c r="R67" i="69"/>
  <c r="R59" i="69"/>
  <c r="R123" i="69"/>
  <c r="R102" i="69"/>
  <c r="R95" i="69"/>
  <c r="R87" i="69"/>
  <c r="R82" i="69"/>
  <c r="R66" i="69"/>
  <c r="R58" i="69"/>
  <c r="R129" i="69"/>
  <c r="R118" i="69"/>
  <c r="R120" i="69"/>
  <c r="R111" i="69"/>
  <c r="R107" i="69"/>
  <c r="R100" i="69"/>
  <c r="R91" i="69"/>
  <c r="R79" i="69"/>
  <c r="R71" i="69"/>
  <c r="R63" i="69"/>
  <c r="R55" i="69"/>
  <c r="R110" i="69"/>
  <c r="R106" i="69"/>
  <c r="R105" i="69"/>
  <c r="R104" i="69"/>
  <c r="R90" i="69"/>
  <c r="R78" i="69"/>
  <c r="R65" i="69"/>
  <c r="R64" i="69"/>
  <c r="R57" i="69"/>
  <c r="R56" i="69"/>
  <c r="R113" i="69"/>
  <c r="R69" i="69"/>
  <c r="R121" i="69"/>
  <c r="R108" i="69"/>
  <c r="R70" i="69"/>
  <c r="R61" i="69"/>
  <c r="R98" i="69"/>
  <c r="R62" i="69"/>
  <c r="R54" i="69"/>
  <c r="R101" i="69"/>
  <c r="R97" i="69"/>
  <c r="R94" i="69"/>
  <c r="R92" i="69"/>
  <c r="R86" i="69"/>
  <c r="R73" i="69"/>
  <c r="R117" i="69"/>
  <c r="R72" i="69"/>
  <c r="R80" i="69"/>
  <c r="R124" i="69"/>
  <c r="R81" i="69"/>
  <c r="R89" i="69"/>
  <c r="R77" i="69"/>
  <c r="R103" i="69"/>
  <c r="R114" i="69"/>
  <c r="R85" i="69"/>
  <c r="D52" i="67"/>
  <c r="N16" i="63"/>
  <c r="H38" i="63"/>
  <c r="F74" i="64"/>
  <c r="F69" i="64"/>
  <c r="F65" i="64"/>
  <c r="F53" i="64"/>
  <c r="F48" i="64"/>
  <c r="F29" i="64"/>
  <c r="F78" i="64"/>
  <c r="F72" i="64"/>
  <c r="F68" i="64"/>
  <c r="F59" i="64"/>
  <c r="F56" i="64"/>
  <c r="F44" i="64"/>
  <c r="D38" i="64"/>
  <c r="F36" i="64"/>
  <c r="F28" i="64"/>
  <c r="L12" i="64"/>
  <c r="N12" i="64" s="1"/>
  <c r="F50" i="64"/>
  <c r="F47" i="64"/>
  <c r="F43" i="64"/>
  <c r="F35" i="64"/>
  <c r="F27" i="64"/>
  <c r="F61" i="64"/>
  <c r="F58" i="64"/>
  <c r="F46" i="64"/>
  <c r="F42" i="64"/>
  <c r="F34" i="64"/>
  <c r="F64" i="64"/>
  <c r="F52" i="64"/>
  <c r="F49" i="64"/>
  <c r="F40" i="64"/>
  <c r="F33" i="64"/>
  <c r="F71" i="64"/>
  <c r="F67" i="64"/>
  <c r="F60" i="64"/>
  <c r="F55" i="64"/>
  <c r="F32" i="64"/>
  <c r="F63" i="64"/>
  <c r="F51" i="64"/>
  <c r="F31" i="64"/>
  <c r="F26" i="64"/>
  <c r="F45" i="64"/>
  <c r="F66" i="64"/>
  <c r="F57" i="64"/>
  <c r="F62" i="64"/>
  <c r="F54" i="64"/>
  <c r="F41" i="64"/>
  <c r="F30" i="64"/>
  <c r="F70" i="64"/>
  <c r="D43" i="60"/>
  <c r="L16" i="60"/>
  <c r="D27" i="47"/>
  <c r="L18" i="47"/>
  <c r="T57" i="56"/>
  <c r="Z16" i="56"/>
  <c r="T27" i="50"/>
  <c r="Z18" i="50"/>
  <c r="T62" i="58"/>
  <c r="Z16" i="58"/>
  <c r="T37" i="55"/>
  <c r="L18" i="49"/>
  <c r="D27" i="49"/>
  <c r="P26" i="54"/>
  <c r="H57" i="56"/>
  <c r="N16" i="56"/>
  <c r="Z18" i="49"/>
  <c r="T27" i="49"/>
  <c r="X27" i="49" s="1"/>
  <c r="V95" i="42"/>
  <c r="V85" i="42"/>
  <c r="V73" i="42"/>
  <c r="V57" i="42"/>
  <c r="V49" i="42"/>
  <c r="V45" i="42"/>
  <c r="V37" i="42"/>
  <c r="V25" i="42"/>
  <c r="V17" i="42"/>
  <c r="V90" i="42"/>
  <c r="V80" i="42"/>
  <c r="V56" i="42"/>
  <c r="V48" i="42"/>
  <c r="V40" i="42"/>
  <c r="V36" i="42"/>
  <c r="V32" i="42"/>
  <c r="V24" i="42"/>
  <c r="V79" i="42"/>
  <c r="V59" i="42"/>
  <c r="V51" i="42"/>
  <c r="V39" i="42"/>
  <c r="V35" i="42"/>
  <c r="V31" i="42"/>
  <c r="V21" i="42"/>
  <c r="V88" i="42"/>
  <c r="V82" i="42"/>
  <c r="V78" i="42"/>
  <c r="V70" i="42"/>
  <c r="V58" i="42"/>
  <c r="V50" i="42"/>
  <c r="V42" i="42"/>
  <c r="V34" i="42"/>
  <c r="V30" i="42"/>
  <c r="T21" i="42"/>
  <c r="V91" i="42"/>
  <c r="V81" i="42"/>
  <c r="V77" i="42"/>
  <c r="V69" i="42"/>
  <c r="V65" i="42"/>
  <c r="V61" i="42"/>
  <c r="V53" i="42"/>
  <c r="V41" i="42"/>
  <c r="V33" i="42"/>
  <c r="V29" i="42"/>
  <c r="V84" i="42"/>
  <c r="V76" i="42"/>
  <c r="V72" i="42"/>
  <c r="V68" i="42"/>
  <c r="V64" i="42"/>
  <c r="V60" i="42"/>
  <c r="V52" i="42"/>
  <c r="V44" i="42"/>
  <c r="V28" i="42"/>
  <c r="V89" i="42"/>
  <c r="V62" i="42"/>
  <c r="V43" i="42"/>
  <c r="V27" i="42"/>
  <c r="V74" i="42"/>
  <c r="V55" i="42"/>
  <c r="V47" i="42"/>
  <c r="V86" i="42"/>
  <c r="V67" i="42"/>
  <c r="V63" i="42"/>
  <c r="V71" i="42"/>
  <c r="V83" i="42"/>
  <c r="V75" i="42"/>
  <c r="V18" i="42"/>
  <c r="V54" i="42"/>
  <c r="V26" i="42"/>
  <c r="V23" i="42"/>
  <c r="V19" i="42"/>
  <c r="V66" i="42"/>
  <c r="V46" i="42"/>
  <c r="V38" i="42"/>
  <c r="P36" i="34"/>
  <c r="X102" i="27"/>
  <c r="N18" i="23"/>
  <c r="H27" i="23"/>
  <c r="H27" i="35"/>
  <c r="N18" i="35"/>
  <c r="X18" i="26"/>
  <c r="T27" i="22"/>
  <c r="Z18" i="22"/>
  <c r="X18" i="22"/>
  <c r="X220" i="18"/>
  <c r="Z220" i="18" s="1"/>
  <c r="J130" i="30"/>
  <c r="J116" i="30"/>
  <c r="J100" i="30"/>
  <c r="J92" i="30"/>
  <c r="J80" i="30"/>
  <c r="J72" i="30"/>
  <c r="J64" i="30"/>
  <c r="J56" i="30"/>
  <c r="J135" i="30"/>
  <c r="J125" i="30"/>
  <c r="J119" i="30"/>
  <c r="J115" i="30"/>
  <c r="J109" i="30"/>
  <c r="J103" i="30"/>
  <c r="J97" i="30"/>
  <c r="J91" i="30"/>
  <c r="J79" i="30"/>
  <c r="J77" i="30"/>
  <c r="J71" i="30"/>
  <c r="J63" i="30"/>
  <c r="J55" i="30"/>
  <c r="J138" i="30"/>
  <c r="J132" i="30"/>
  <c r="J122" i="30"/>
  <c r="J118" i="30"/>
  <c r="J112" i="30"/>
  <c r="J106" i="30"/>
  <c r="J94" i="30"/>
  <c r="J90" i="30"/>
  <c r="J86" i="30"/>
  <c r="J70" i="30"/>
  <c r="J62" i="30"/>
  <c r="J54" i="30"/>
  <c r="J129" i="30"/>
  <c r="J121" i="30"/>
  <c r="J105" i="30"/>
  <c r="J99" i="30"/>
  <c r="J89" i="30"/>
  <c r="J85" i="30"/>
  <c r="J69" i="30"/>
  <c r="J61" i="30"/>
  <c r="J134" i="30"/>
  <c r="J128" i="30"/>
  <c r="J124" i="30"/>
  <c r="J114" i="30"/>
  <c r="J108" i="30"/>
  <c r="J102" i="30"/>
  <c r="J96" i="30"/>
  <c r="J88" i="30"/>
  <c r="J84" i="30"/>
  <c r="J78" i="30"/>
  <c r="J68" i="30"/>
  <c r="J60" i="30"/>
  <c r="J139" i="30"/>
  <c r="J131" i="30"/>
  <c r="J127" i="30"/>
  <c r="J117" i="30"/>
  <c r="J111" i="30"/>
  <c r="J93" i="30"/>
  <c r="J83" i="30"/>
  <c r="J75" i="30"/>
  <c r="J67" i="30"/>
  <c r="J59" i="30"/>
  <c r="J53" i="30"/>
  <c r="J82" i="30"/>
  <c r="J66" i="30"/>
  <c r="J143" i="30"/>
  <c r="J58" i="30"/>
  <c r="J104" i="30"/>
  <c r="J113" i="30"/>
  <c r="J73" i="30"/>
  <c r="J137" i="30"/>
  <c r="J126" i="30"/>
  <c r="J110" i="30"/>
  <c r="J133" i="30"/>
  <c r="J123" i="30"/>
  <c r="J98" i="30"/>
  <c r="J87" i="30"/>
  <c r="J81" i="30"/>
  <c r="J65" i="30"/>
  <c r="J57" i="30"/>
  <c r="J120" i="30"/>
  <c r="J101" i="30"/>
  <c r="H75" i="30"/>
  <c r="J95" i="30"/>
  <c r="J107" i="30"/>
  <c r="X137" i="30"/>
  <c r="J82" i="21"/>
  <c r="J76" i="21"/>
  <c r="J68" i="21"/>
  <c r="J64" i="21"/>
  <c r="J58" i="21"/>
  <c r="J44" i="21"/>
  <c r="J40" i="21"/>
  <c r="J36" i="21"/>
  <c r="J30" i="21"/>
  <c r="J73" i="21"/>
  <c r="J55" i="21"/>
  <c r="J49" i="21"/>
  <c r="J35" i="21"/>
  <c r="J60" i="21"/>
  <c r="J52" i="21"/>
  <c r="J46" i="21"/>
  <c r="J34" i="21"/>
  <c r="H27" i="21"/>
  <c r="J27" i="21" s="1"/>
  <c r="J75" i="21"/>
  <c r="J67" i="21"/>
  <c r="J63" i="21"/>
  <c r="J57" i="21"/>
  <c r="J43" i="21"/>
  <c r="J39" i="21"/>
  <c r="J33" i="21"/>
  <c r="J25" i="21"/>
  <c r="J72" i="21"/>
  <c r="J54" i="21"/>
  <c r="J48" i="21"/>
  <c r="J32" i="21"/>
  <c r="J24" i="21"/>
  <c r="J71" i="21"/>
  <c r="J59" i="21"/>
  <c r="J51" i="21"/>
  <c r="J45" i="21"/>
  <c r="J31" i="21"/>
  <c r="J29" i="21"/>
  <c r="J70" i="21"/>
  <c r="J61" i="21"/>
  <c r="J53" i="21"/>
  <c r="J50" i="21"/>
  <c r="J23" i="21"/>
  <c r="J74" i="21"/>
  <c r="J47" i="21"/>
  <c r="J42" i="21"/>
  <c r="J65" i="21"/>
  <c r="J56" i="21"/>
  <c r="J69" i="21"/>
  <c r="J66" i="21"/>
  <c r="J38" i="21"/>
  <c r="J41" i="21"/>
  <c r="J62" i="21"/>
  <c r="J78" i="21"/>
  <c r="J37" i="21"/>
  <c r="T27" i="11"/>
  <c r="Z18" i="11"/>
  <c r="D31" i="17"/>
  <c r="L18" i="13"/>
  <c r="D27" i="13"/>
  <c r="F75" i="24"/>
  <c r="F71" i="24"/>
  <c r="F67" i="24"/>
  <c r="F62" i="24"/>
  <c r="F55" i="24"/>
  <c r="F79" i="24"/>
  <c r="F74" i="24"/>
  <c r="F70" i="24"/>
  <c r="F58" i="24"/>
  <c r="F83" i="24"/>
  <c r="F77" i="24"/>
  <c r="F73" i="24"/>
  <c r="F64" i="24"/>
  <c r="F61" i="24"/>
  <c r="F57" i="24"/>
  <c r="F52" i="24"/>
  <c r="F60" i="24"/>
  <c r="F66" i="24"/>
  <c r="F63" i="24"/>
  <c r="F54" i="24"/>
  <c r="F51" i="24"/>
  <c r="F47" i="24"/>
  <c r="F69" i="24"/>
  <c r="F50" i="24"/>
  <c r="F46" i="24"/>
  <c r="F45" i="24"/>
  <c r="F32" i="24"/>
  <c r="F44" i="24"/>
  <c r="D41" i="24"/>
  <c r="F39" i="24"/>
  <c r="F31" i="24"/>
  <c r="F68" i="24"/>
  <c r="F53" i="24"/>
  <c r="F38" i="24"/>
  <c r="F30" i="24"/>
  <c r="F72" i="24"/>
  <c r="F65" i="24"/>
  <c r="F48" i="24"/>
  <c r="F37" i="24"/>
  <c r="F59" i="24"/>
  <c r="F49" i="24"/>
  <c r="F43" i="24"/>
  <c r="F36" i="24"/>
  <c r="L12" i="24"/>
  <c r="F76" i="24"/>
  <c r="F35" i="24"/>
  <c r="F34" i="24"/>
  <c r="F56" i="24"/>
  <c r="F29" i="24"/>
  <c r="F33" i="24"/>
  <c r="V217" i="18"/>
  <c r="V213" i="18"/>
  <c r="V201" i="18"/>
  <c r="V193" i="18"/>
  <c r="V189" i="18"/>
  <c r="V185" i="18"/>
  <c r="V173" i="18"/>
  <c r="V161" i="18"/>
  <c r="V149" i="18"/>
  <c r="V145" i="18"/>
  <c r="V137" i="18"/>
  <c r="V129" i="18"/>
  <c r="V121" i="18"/>
  <c r="V113" i="18"/>
  <c r="V105" i="18"/>
  <c r="V97" i="18"/>
  <c r="V230" i="18"/>
  <c r="V222" i="18"/>
  <c r="V184" i="18"/>
  <c r="V176" i="18"/>
  <c r="V172" i="18"/>
  <c r="V164" i="18"/>
  <c r="V160" i="18"/>
  <c r="V148" i="18"/>
  <c r="V144" i="18"/>
  <c r="V128" i="18"/>
  <c r="V120" i="18"/>
  <c r="V112" i="18"/>
  <c r="V104" i="18"/>
  <c r="V96" i="18"/>
  <c r="V220" i="18"/>
  <c r="V223" i="18"/>
  <c r="V209" i="18"/>
  <c r="V205" i="18"/>
  <c r="V197" i="18"/>
  <c r="V181" i="18"/>
  <c r="V177" i="18"/>
  <c r="V169" i="18"/>
  <c r="V165" i="18"/>
  <c r="V157" i="18"/>
  <c r="V153" i="18"/>
  <c r="V141" i="18"/>
  <c r="V125" i="18"/>
  <c r="V117" i="18"/>
  <c r="V109" i="18"/>
  <c r="V101" i="18"/>
  <c r="V93" i="18"/>
  <c r="V226" i="18"/>
  <c r="V216" i="18"/>
  <c r="V212" i="18"/>
  <c r="V208" i="18"/>
  <c r="V204" i="18"/>
  <c r="V200" i="18"/>
  <c r="V196" i="18"/>
  <c r="V192" i="18"/>
  <c r="V188" i="18"/>
  <c r="V180" i="18"/>
  <c r="V168" i="18"/>
  <c r="V156" i="18"/>
  <c r="V152" i="18"/>
  <c r="V140" i="18"/>
  <c r="V136" i="18"/>
  <c r="V132" i="18"/>
  <c r="V124" i="18"/>
  <c r="V116" i="18"/>
  <c r="V108" i="18"/>
  <c r="V100" i="18"/>
  <c r="V92" i="18"/>
  <c r="V224" i="18"/>
  <c r="V215" i="18"/>
  <c r="V207" i="18"/>
  <c r="V203" i="18"/>
  <c r="V202" i="18"/>
  <c r="V191" i="18"/>
  <c r="V190" i="18"/>
  <c r="V171" i="18"/>
  <c r="V147" i="18"/>
  <c r="V146" i="18"/>
  <c r="V182" i="18"/>
  <c r="T134" i="18"/>
  <c r="V127" i="18"/>
  <c r="V126" i="18"/>
  <c r="V111" i="18"/>
  <c r="V110" i="18"/>
  <c r="V99" i="18"/>
  <c r="V195" i="18"/>
  <c r="V194" i="18"/>
  <c r="V183" i="18"/>
  <c r="V159" i="18"/>
  <c r="V158" i="18"/>
  <c r="V155" i="18"/>
  <c r="V154" i="18"/>
  <c r="V143" i="18"/>
  <c r="V142" i="18"/>
  <c r="V98" i="18"/>
  <c r="V218" i="18"/>
  <c r="V198" i="18"/>
  <c r="V163" i="18"/>
  <c r="V151" i="18"/>
  <c r="V150" i="18"/>
  <c r="V106" i="18"/>
  <c r="V210" i="18"/>
  <c r="V199" i="18"/>
  <c r="V179" i="18"/>
  <c r="V174" i="18"/>
  <c r="V119" i="18"/>
  <c r="V118" i="18"/>
  <c r="V95" i="18"/>
  <c r="V94" i="18"/>
  <c r="V225" i="18"/>
  <c r="V186" i="18"/>
  <c r="V221" i="18"/>
  <c r="V214" i="18"/>
  <c r="V206" i="18"/>
  <c r="V187" i="18"/>
  <c r="V178" i="18"/>
  <c r="V170" i="18"/>
  <c r="V167" i="18"/>
  <c r="V166" i="18"/>
  <c r="V131" i="18"/>
  <c r="V130" i="18"/>
  <c r="V115" i="18"/>
  <c r="V114" i="18"/>
  <c r="V103" i="18"/>
  <c r="V102" i="18"/>
  <c r="V91" i="18"/>
  <c r="V90" i="18"/>
  <c r="V107" i="18"/>
  <c r="V211" i="18"/>
  <c r="V122" i="18"/>
  <c r="V175" i="18"/>
  <c r="V162" i="18"/>
  <c r="V138" i="18"/>
  <c r="V123" i="18"/>
  <c r="V139" i="18"/>
  <c r="H27" i="7"/>
  <c r="L27" i="7" s="1"/>
  <c r="N18" i="7"/>
  <c r="T27" i="5"/>
  <c r="Z18" i="5"/>
  <c r="N27" i="11"/>
  <c r="H31" i="11"/>
  <c r="X142" i="3"/>
  <c r="P248" i="3"/>
  <c r="Z18" i="10"/>
  <c r="T27" i="10"/>
  <c r="X27" i="10" s="1"/>
  <c r="Z238" i="3"/>
  <c r="J196" i="12"/>
  <c r="J192" i="12"/>
  <c r="J178" i="12"/>
  <c r="J174" i="12"/>
  <c r="J158" i="12"/>
  <c r="J152" i="12"/>
  <c r="J140" i="12"/>
  <c r="J136" i="12"/>
  <c r="J124" i="12"/>
  <c r="H117" i="12"/>
  <c r="J108" i="12"/>
  <c r="J100" i="12"/>
  <c r="J92" i="12"/>
  <c r="J84" i="12"/>
  <c r="N12" i="12"/>
  <c r="J207" i="12"/>
  <c r="J203" i="12"/>
  <c r="J199" i="12"/>
  <c r="J191" i="12"/>
  <c r="J183" i="12"/>
  <c r="J169" i="12"/>
  <c r="J163" i="12"/>
  <c r="J145" i="12"/>
  <c r="J135" i="12"/>
  <c r="J123" i="12"/>
  <c r="J115" i="12"/>
  <c r="J107" i="12"/>
  <c r="J99" i="12"/>
  <c r="J91" i="12"/>
  <c r="J83" i="12"/>
  <c r="J210" i="12"/>
  <c r="J202" i="12"/>
  <c r="J190" i="12"/>
  <c r="J186" i="12"/>
  <c r="J182" i="12"/>
  <c r="J166" i="12"/>
  <c r="J160" i="12"/>
  <c r="J154" i="12"/>
  <c r="J148" i="12"/>
  <c r="J142" i="12"/>
  <c r="J134" i="12"/>
  <c r="J130" i="12"/>
  <c r="J122" i="12"/>
  <c r="J114" i="12"/>
  <c r="J106" i="12"/>
  <c r="J98" i="12"/>
  <c r="J90" i="12"/>
  <c r="J82" i="12"/>
  <c r="J205" i="12"/>
  <c r="J201" i="12"/>
  <c r="J195" i="12"/>
  <c r="J189" i="12"/>
  <c r="J185" i="12"/>
  <c r="J181" i="12"/>
  <c r="J177" i="12"/>
  <c r="J173" i="12"/>
  <c r="J165" i="12"/>
  <c r="J157" i="12"/>
  <c r="J151" i="12"/>
  <c r="J139" i="12"/>
  <c r="J133" i="12"/>
  <c r="J129" i="12"/>
  <c r="J121" i="12"/>
  <c r="J119" i="12"/>
  <c r="J113" i="12"/>
  <c r="J105" i="12"/>
  <c r="J97" i="12"/>
  <c r="J89" i="12"/>
  <c r="J81" i="12"/>
  <c r="J208" i="12"/>
  <c r="J198" i="12"/>
  <c r="J188" i="12"/>
  <c r="J180" i="12"/>
  <c r="J176" i="12"/>
  <c r="J172" i="12"/>
  <c r="J168" i="12"/>
  <c r="J162" i="12"/>
  <c r="J156" i="12"/>
  <c r="J144" i="12"/>
  <c r="J132" i="12"/>
  <c r="J128" i="12"/>
  <c r="J112" i="12"/>
  <c r="J104" i="12"/>
  <c r="J96" i="12"/>
  <c r="J88" i="12"/>
  <c r="J80" i="12"/>
  <c r="J211" i="12"/>
  <c r="J179" i="12"/>
  <c r="J175" i="12"/>
  <c r="J171" i="12"/>
  <c r="J159" i="12"/>
  <c r="J153" i="12"/>
  <c r="J147" i="12"/>
  <c r="J141" i="12"/>
  <c r="J127" i="12"/>
  <c r="J111" i="12"/>
  <c r="J103" i="12"/>
  <c r="J95" i="12"/>
  <c r="J87" i="12"/>
  <c r="J204" i="12"/>
  <c r="J200" i="12"/>
  <c r="J194" i="12"/>
  <c r="J184" i="12"/>
  <c r="J170" i="12"/>
  <c r="J164" i="12"/>
  <c r="J150" i="12"/>
  <c r="J146" i="12"/>
  <c r="J138" i="12"/>
  <c r="J126" i="12"/>
  <c r="J120" i="12"/>
  <c r="J110" i="12"/>
  <c r="J102" i="12"/>
  <c r="J94" i="12"/>
  <c r="J86" i="12"/>
  <c r="J193" i="12"/>
  <c r="J109" i="12"/>
  <c r="J215" i="12"/>
  <c r="J93" i="12"/>
  <c r="J149" i="12"/>
  <c r="J137" i="12"/>
  <c r="J209" i="12"/>
  <c r="J197" i="12"/>
  <c r="J187" i="12"/>
  <c r="J167" i="12"/>
  <c r="J79" i="12"/>
  <c r="J85" i="12"/>
  <c r="J155" i="12"/>
  <c r="J131" i="12"/>
  <c r="J125" i="12"/>
  <c r="J117" i="12"/>
  <c r="J143" i="12"/>
  <c r="J101" i="12"/>
  <c r="J161" i="12"/>
  <c r="X18" i="5"/>
  <c r="N27" i="40"/>
  <c r="H31" i="40"/>
  <c r="L18" i="37"/>
  <c r="D27" i="37"/>
  <c r="H27" i="19"/>
  <c r="N18" i="19"/>
  <c r="L18" i="19"/>
  <c r="J74" i="24"/>
  <c r="J70" i="24"/>
  <c r="J64" i="24"/>
  <c r="J58" i="24"/>
  <c r="J52" i="24"/>
  <c r="J44" i="24"/>
  <c r="J83" i="24"/>
  <c r="J77" i="24"/>
  <c r="J73" i="24"/>
  <c r="J61" i="24"/>
  <c r="J57" i="24"/>
  <c r="J66" i="24"/>
  <c r="J60" i="24"/>
  <c r="J54" i="24"/>
  <c r="J48" i="24"/>
  <c r="J69" i="24"/>
  <c r="J63" i="24"/>
  <c r="J51" i="24"/>
  <c r="J76" i="24"/>
  <c r="J72" i="24"/>
  <c r="J56" i="24"/>
  <c r="J50" i="24"/>
  <c r="J46" i="24"/>
  <c r="J65" i="24"/>
  <c r="J59" i="24"/>
  <c r="J53" i="24"/>
  <c r="J45" i="24"/>
  <c r="J43" i="24"/>
  <c r="J79" i="24"/>
  <c r="J39" i="24"/>
  <c r="J31" i="24"/>
  <c r="J71" i="24"/>
  <c r="J68" i="24"/>
  <c r="J38" i="24"/>
  <c r="J30" i="24"/>
  <c r="J75" i="24"/>
  <c r="J49" i="24"/>
  <c r="J47" i="24"/>
  <c r="J37" i="24"/>
  <c r="J36" i="24"/>
  <c r="N12" i="24"/>
  <c r="J35" i="24"/>
  <c r="J29" i="24"/>
  <c r="J55" i="24"/>
  <c r="J34" i="24"/>
  <c r="J32" i="24"/>
  <c r="J67" i="24"/>
  <c r="J33" i="24"/>
  <c r="J62" i="24"/>
  <c r="H41" i="24"/>
  <c r="J41" i="24" s="1"/>
  <c r="L18" i="23"/>
  <c r="D27" i="23"/>
  <c r="N27" i="20"/>
  <c r="H31" i="20"/>
  <c r="Z207" i="12"/>
  <c r="T24" i="95"/>
  <c r="Z16" i="95"/>
  <c r="N16" i="92"/>
  <c r="H24" i="92"/>
  <c r="H27" i="97"/>
  <c r="N18" i="97"/>
  <c r="Z18" i="97"/>
  <c r="T27" i="97"/>
  <c r="R70" i="94"/>
  <c r="R76" i="94"/>
  <c r="R69" i="94"/>
  <c r="R61" i="94"/>
  <c r="R72" i="94"/>
  <c r="R68" i="94"/>
  <c r="R64" i="94"/>
  <c r="R67" i="94"/>
  <c r="R63" i="94"/>
  <c r="R60" i="94"/>
  <c r="R55" i="94"/>
  <c r="R52" i="94"/>
  <c r="R80" i="94"/>
  <c r="R74" i="94"/>
  <c r="R71" i="94"/>
  <c r="R66" i="94"/>
  <c r="R59" i="94"/>
  <c r="R62" i="94"/>
  <c r="R45" i="94"/>
  <c r="R42" i="94"/>
  <c r="R34" i="94"/>
  <c r="R29" i="94"/>
  <c r="P21" i="94"/>
  <c r="R28" i="94"/>
  <c r="X12" i="94"/>
  <c r="Z12" i="94" s="1"/>
  <c r="R47" i="94"/>
  <c r="R44" i="94"/>
  <c r="R39" i="94"/>
  <c r="R27" i="94"/>
  <c r="R51" i="94"/>
  <c r="R38" i="94"/>
  <c r="R26" i="94"/>
  <c r="R23" i="94"/>
  <c r="R18" i="94"/>
  <c r="R50" i="94"/>
  <c r="R46" i="94"/>
  <c r="R41" i="94"/>
  <c r="R37" i="94"/>
  <c r="R33" i="94"/>
  <c r="R25" i="94"/>
  <c r="R73" i="94"/>
  <c r="R56" i="94"/>
  <c r="R54" i="94"/>
  <c r="R49" i="94"/>
  <c r="R36" i="94"/>
  <c r="R32" i="94"/>
  <c r="R17" i="94"/>
  <c r="R53" i="94"/>
  <c r="R30" i="94"/>
  <c r="R21" i="94"/>
  <c r="R57" i="94"/>
  <c r="R65" i="94"/>
  <c r="R31" i="94"/>
  <c r="R58" i="94"/>
  <c r="R48" i="94"/>
  <c r="R43" i="94"/>
  <c r="R40" i="94"/>
  <c r="R35" i="94"/>
  <c r="R19" i="94"/>
  <c r="R24" i="94"/>
  <c r="P78" i="93"/>
  <c r="R21" i="93"/>
  <c r="Z17" i="89"/>
  <c r="T37" i="89"/>
  <c r="X37" i="89" s="1"/>
  <c r="P75" i="91"/>
  <c r="X16" i="88"/>
  <c r="X16" i="82"/>
  <c r="P32" i="82"/>
  <c r="P70" i="81"/>
  <c r="X16" i="81"/>
  <c r="D38" i="83"/>
  <c r="L16" i="83"/>
  <c r="T28" i="78"/>
  <c r="D42" i="74"/>
  <c r="L17" i="74"/>
  <c r="H36" i="80"/>
  <c r="R87" i="77"/>
  <c r="R83" i="77"/>
  <c r="R76" i="77"/>
  <c r="R93" i="77"/>
  <c r="R82" i="77"/>
  <c r="R79" i="77"/>
  <c r="R70" i="77"/>
  <c r="R67" i="77"/>
  <c r="R62" i="77"/>
  <c r="R59" i="77"/>
  <c r="R89" i="77"/>
  <c r="R86" i="77"/>
  <c r="R81" i="77"/>
  <c r="R72" i="77"/>
  <c r="R69" i="77"/>
  <c r="R64" i="77"/>
  <c r="R61" i="77"/>
  <c r="R97" i="77"/>
  <c r="R91" i="77"/>
  <c r="R88" i="77"/>
  <c r="R75" i="77"/>
  <c r="R78" i="77"/>
  <c r="R74" i="77"/>
  <c r="R71" i="77"/>
  <c r="R66" i="77"/>
  <c r="R63" i="77"/>
  <c r="R58" i="77"/>
  <c r="R80" i="77"/>
  <c r="R45" i="77"/>
  <c r="R37" i="77"/>
  <c r="R90" i="77"/>
  <c r="R85" i="77"/>
  <c r="R73" i="77"/>
  <c r="R52" i="77"/>
  <c r="R36" i="77"/>
  <c r="X12" i="77"/>
  <c r="Z12" i="77" s="1"/>
  <c r="R77" i="77"/>
  <c r="R60" i="77"/>
  <c r="R51" i="77"/>
  <c r="R44" i="77"/>
  <c r="R68" i="77"/>
  <c r="R50" i="77"/>
  <c r="R35" i="77"/>
  <c r="R54" i="77"/>
  <c r="R49" i="77"/>
  <c r="P41" i="77"/>
  <c r="R65" i="77"/>
  <c r="R55" i="77"/>
  <c r="R53" i="77"/>
  <c r="R48" i="77"/>
  <c r="R84" i="77"/>
  <c r="R46" i="77"/>
  <c r="R43" i="77"/>
  <c r="R38" i="77"/>
  <c r="R39" i="77"/>
  <c r="R57" i="77"/>
  <c r="R47" i="77"/>
  <c r="R56" i="77"/>
  <c r="H74" i="81"/>
  <c r="T29" i="75"/>
  <c r="J50" i="70"/>
  <c r="J42" i="70"/>
  <c r="J38" i="70"/>
  <c r="J75" i="70"/>
  <c r="J67" i="70"/>
  <c r="J59" i="70"/>
  <c r="J53" i="70"/>
  <c r="J47" i="70"/>
  <c r="J41" i="70"/>
  <c r="J37" i="70"/>
  <c r="J64" i="70"/>
  <c r="J56" i="70"/>
  <c r="J44" i="70"/>
  <c r="J40" i="70"/>
  <c r="J36" i="70"/>
  <c r="J30" i="70"/>
  <c r="N12" i="70"/>
  <c r="J70" i="70"/>
  <c r="J66" i="70"/>
  <c r="J62" i="70"/>
  <c r="J58" i="70"/>
  <c r="J52" i="70"/>
  <c r="J46" i="70"/>
  <c r="J34" i="70"/>
  <c r="H27" i="70"/>
  <c r="J61" i="70"/>
  <c r="J43" i="70"/>
  <c r="J39" i="70"/>
  <c r="J33" i="70"/>
  <c r="J55" i="70"/>
  <c r="J68" i="70"/>
  <c r="J57" i="70"/>
  <c r="J27" i="70"/>
  <c r="J25" i="70"/>
  <c r="J71" i="70"/>
  <c r="J63" i="70"/>
  <c r="J51" i="70"/>
  <c r="J45" i="70"/>
  <c r="J29" i="70"/>
  <c r="J65" i="70"/>
  <c r="J60" i="70"/>
  <c r="J49" i="70"/>
  <c r="J48" i="70"/>
  <c r="J31" i="70"/>
  <c r="J54" i="70"/>
  <c r="J35" i="70"/>
  <c r="J32" i="70"/>
  <c r="R42" i="73"/>
  <c r="R39" i="73"/>
  <c r="R34" i="73"/>
  <c r="R30" i="73"/>
  <c r="R53" i="73"/>
  <c r="R45" i="73"/>
  <c r="R33" i="73"/>
  <c r="R29" i="73"/>
  <c r="R65" i="73"/>
  <c r="R59" i="73"/>
  <c r="R52" i="73"/>
  <c r="R48" i="73"/>
  <c r="R44" i="73"/>
  <c r="R41" i="73"/>
  <c r="R36" i="73"/>
  <c r="R32" i="73"/>
  <c r="R28" i="73"/>
  <c r="R55" i="73"/>
  <c r="R51" i="73"/>
  <c r="R47" i="73"/>
  <c r="R27" i="73"/>
  <c r="R50" i="73"/>
  <c r="R43" i="73"/>
  <c r="R38" i="73"/>
  <c r="R35" i="73"/>
  <c r="R31" i="73"/>
  <c r="R26" i="73"/>
  <c r="R63" i="73"/>
  <c r="R57" i="73"/>
  <c r="R54" i="73"/>
  <c r="R46" i="73"/>
  <c r="R25" i="73"/>
  <c r="R56" i="73"/>
  <c r="R24" i="73"/>
  <c r="R22" i="73"/>
  <c r="R61" i="73"/>
  <c r="R19" i="73"/>
  <c r="X12" i="73"/>
  <c r="Z12" i="73" s="1"/>
  <c r="R49" i="73"/>
  <c r="R17" i="73"/>
  <c r="R23" i="73"/>
  <c r="R21" i="73"/>
  <c r="R40" i="73"/>
  <c r="R68" i="73"/>
  <c r="R37" i="73"/>
  <c r="R16" i="73"/>
  <c r="P19" i="73"/>
  <c r="N21" i="67"/>
  <c r="H48" i="67"/>
  <c r="T43" i="60"/>
  <c r="Z16" i="60"/>
  <c r="T42" i="63"/>
  <c r="H53" i="59"/>
  <c r="D57" i="56"/>
  <c r="L16" i="56"/>
  <c r="L18" i="50"/>
  <c r="D27" i="50"/>
  <c r="D62" i="58"/>
  <c r="L16" i="58"/>
  <c r="P31" i="49"/>
  <c r="T27" i="46"/>
  <c r="Z18" i="46"/>
  <c r="P30" i="55"/>
  <c r="X16" i="55"/>
  <c r="P27" i="50"/>
  <c r="X18" i="50"/>
  <c r="L55" i="48"/>
  <c r="N55" i="48" s="1"/>
  <c r="F84" i="51"/>
  <c r="F80" i="51"/>
  <c r="F77" i="51"/>
  <c r="F65" i="51"/>
  <c r="F53" i="51"/>
  <c r="F45" i="51"/>
  <c r="F37" i="51"/>
  <c r="F89" i="51"/>
  <c r="F71" i="51"/>
  <c r="F68" i="51"/>
  <c r="F64" i="51"/>
  <c r="F60" i="51"/>
  <c r="F52" i="51"/>
  <c r="F44" i="51"/>
  <c r="F36" i="51"/>
  <c r="L12" i="51"/>
  <c r="F83" i="51"/>
  <c r="F79" i="51"/>
  <c r="F63" i="51"/>
  <c r="F59" i="51"/>
  <c r="F50" i="51"/>
  <c r="F43" i="51"/>
  <c r="F35" i="51"/>
  <c r="F87" i="51"/>
  <c r="F82" i="51"/>
  <c r="F73" i="51"/>
  <c r="F70" i="51"/>
  <c r="F62" i="51"/>
  <c r="F58" i="51"/>
  <c r="F42" i="51"/>
  <c r="F94" i="51"/>
  <c r="F72" i="51"/>
  <c r="F67" i="51"/>
  <c r="F56" i="51"/>
  <c r="F51" i="51"/>
  <c r="F40" i="51"/>
  <c r="F88" i="51"/>
  <c r="F78" i="51"/>
  <c r="F75" i="51"/>
  <c r="F55" i="51"/>
  <c r="F39" i="51"/>
  <c r="F34" i="51"/>
  <c r="F66" i="51"/>
  <c r="F54" i="51"/>
  <c r="F46" i="51"/>
  <c r="F57" i="51"/>
  <c r="F38" i="51"/>
  <c r="F76" i="51"/>
  <c r="F90" i="51"/>
  <c r="F85" i="51"/>
  <c r="F81" i="51"/>
  <c r="F74" i="51"/>
  <c r="F69" i="51"/>
  <c r="F61" i="51"/>
  <c r="D48" i="51"/>
  <c r="F41" i="51"/>
  <c r="Z18" i="41"/>
  <c r="T27" i="41"/>
  <c r="X18" i="35"/>
  <c r="P27" i="35"/>
  <c r="N18" i="46"/>
  <c r="H27" i="46"/>
  <c r="F95" i="39"/>
  <c r="F92" i="39"/>
  <c r="F88" i="39"/>
  <c r="F83" i="39"/>
  <c r="F80" i="39"/>
  <c r="F60" i="39"/>
  <c r="F44" i="39"/>
  <c r="F40" i="39"/>
  <c r="F100" i="39"/>
  <c r="F87" i="39"/>
  <c r="F79" i="39"/>
  <c r="F75" i="39"/>
  <c r="F71" i="39"/>
  <c r="F66" i="39"/>
  <c r="F63" i="39"/>
  <c r="F54" i="39"/>
  <c r="F51" i="39"/>
  <c r="F43" i="39"/>
  <c r="F39" i="39"/>
  <c r="F26" i="39"/>
  <c r="F94" i="39"/>
  <c r="F86" i="39"/>
  <c r="F82" i="39"/>
  <c r="F78" i="39"/>
  <c r="F74" i="39"/>
  <c r="F62" i="39"/>
  <c r="F57" i="39"/>
  <c r="F38" i="39"/>
  <c r="F33" i="39"/>
  <c r="F101" i="39"/>
  <c r="F96" i="39"/>
  <c r="F91" i="39"/>
  <c r="F84" i="39"/>
  <c r="F59" i="39"/>
  <c r="F56" i="39"/>
  <c r="F36" i="39"/>
  <c r="D30" i="39"/>
  <c r="F28" i="39"/>
  <c r="L12" i="39"/>
  <c r="F105" i="39"/>
  <c r="F70" i="39"/>
  <c r="F67" i="39"/>
  <c r="F55" i="39"/>
  <c r="F50" i="39"/>
  <c r="F47" i="39"/>
  <c r="F42" i="39"/>
  <c r="F35" i="39"/>
  <c r="F27" i="39"/>
  <c r="F99" i="39"/>
  <c r="F93" i="39"/>
  <c r="F90" i="39"/>
  <c r="F81" i="39"/>
  <c r="F61" i="39"/>
  <c r="F58" i="39"/>
  <c r="F46" i="39"/>
  <c r="F34" i="39"/>
  <c r="F98" i="39"/>
  <c r="F49" i="39"/>
  <c r="F85" i="39"/>
  <c r="F77" i="39"/>
  <c r="F76" i="39"/>
  <c r="F73" i="39"/>
  <c r="F72" i="39"/>
  <c r="F68" i="39"/>
  <c r="F69" i="39"/>
  <c r="F41" i="39"/>
  <c r="F65" i="39"/>
  <c r="F64" i="39"/>
  <c r="F30" i="39"/>
  <c r="F89" i="39"/>
  <c r="F37" i="39"/>
  <c r="F45" i="39"/>
  <c r="F32" i="39"/>
  <c r="F52" i="39"/>
  <c r="F48" i="39"/>
  <c r="F53" i="39"/>
  <c r="Z102" i="27"/>
  <c r="R134" i="30"/>
  <c r="R129" i="30"/>
  <c r="R121" i="30"/>
  <c r="R114" i="30"/>
  <c r="R105" i="30"/>
  <c r="R102" i="30"/>
  <c r="R89" i="30"/>
  <c r="R85" i="30"/>
  <c r="R78" i="30"/>
  <c r="R69" i="30"/>
  <c r="R61" i="30"/>
  <c r="R139" i="30"/>
  <c r="R128" i="30"/>
  <c r="R124" i="30"/>
  <c r="R117" i="30"/>
  <c r="R108" i="30"/>
  <c r="R96" i="30"/>
  <c r="R93" i="30"/>
  <c r="R88" i="30"/>
  <c r="R84" i="30"/>
  <c r="R75" i="30"/>
  <c r="R68" i="30"/>
  <c r="R60" i="30"/>
  <c r="R53" i="30"/>
  <c r="X12" i="30"/>
  <c r="Z12" i="30" s="1"/>
  <c r="R131" i="30"/>
  <c r="R127" i="30"/>
  <c r="R120" i="30"/>
  <c r="R111" i="30"/>
  <c r="R104" i="30"/>
  <c r="R83" i="30"/>
  <c r="P75" i="30"/>
  <c r="R67" i="30"/>
  <c r="R59" i="30"/>
  <c r="R137" i="30"/>
  <c r="R126" i="30"/>
  <c r="R123" i="30"/>
  <c r="R110" i="30"/>
  <c r="R107" i="30"/>
  <c r="R98" i="30"/>
  <c r="R95" i="30"/>
  <c r="R87" i="30"/>
  <c r="R82" i="30"/>
  <c r="R66" i="30"/>
  <c r="R58" i="30"/>
  <c r="R143" i="30"/>
  <c r="R133" i="30"/>
  <c r="R130" i="30"/>
  <c r="R113" i="30"/>
  <c r="R101" i="30"/>
  <c r="R81" i="30"/>
  <c r="R73" i="30"/>
  <c r="R65" i="30"/>
  <c r="R57" i="30"/>
  <c r="R125" i="30"/>
  <c r="R116" i="30"/>
  <c r="R109" i="30"/>
  <c r="R100" i="30"/>
  <c r="R97" i="30"/>
  <c r="R92" i="30"/>
  <c r="R80" i="30"/>
  <c r="R77" i="30"/>
  <c r="R72" i="30"/>
  <c r="R64" i="30"/>
  <c r="R56" i="30"/>
  <c r="R132" i="30"/>
  <c r="R103" i="30"/>
  <c r="R70" i="30"/>
  <c r="R122" i="30"/>
  <c r="R118" i="30"/>
  <c r="R86" i="30"/>
  <c r="R71" i="30"/>
  <c r="R62" i="30"/>
  <c r="R138" i="30"/>
  <c r="R119" i="30"/>
  <c r="R94" i="30"/>
  <c r="R90" i="30"/>
  <c r="R79" i="30"/>
  <c r="R63" i="30"/>
  <c r="R54" i="30"/>
  <c r="R106" i="30"/>
  <c r="R55" i="30"/>
  <c r="R112" i="30"/>
  <c r="R135" i="30"/>
  <c r="R115" i="30"/>
  <c r="R91" i="30"/>
  <c r="R99" i="30"/>
  <c r="L18" i="35"/>
  <c r="D27" i="35"/>
  <c r="F78" i="21"/>
  <c r="F69" i="21"/>
  <c r="F65" i="21"/>
  <c r="F61" i="21"/>
  <c r="F56" i="21"/>
  <c r="F53" i="21"/>
  <c r="F41" i="21"/>
  <c r="F37" i="21"/>
  <c r="F82" i="21"/>
  <c r="F76" i="21"/>
  <c r="F68" i="21"/>
  <c r="F64" i="21"/>
  <c r="F47" i="21"/>
  <c r="F44" i="21"/>
  <c r="F40" i="21"/>
  <c r="F36" i="21"/>
  <c r="F23" i="21"/>
  <c r="L12" i="21"/>
  <c r="N12" i="21" s="1"/>
  <c r="F58" i="21"/>
  <c r="F55" i="21"/>
  <c r="F35" i="21"/>
  <c r="F30" i="21"/>
  <c r="F73" i="21"/>
  <c r="F49" i="21"/>
  <c r="F46" i="21"/>
  <c r="F34" i="21"/>
  <c r="F60" i="21"/>
  <c r="F57" i="21"/>
  <c r="F52" i="21"/>
  <c r="F33" i="21"/>
  <c r="D27" i="21"/>
  <c r="F27" i="21" s="1"/>
  <c r="F25" i="21"/>
  <c r="F75" i="21"/>
  <c r="F72" i="21"/>
  <c r="F67" i="21"/>
  <c r="F63" i="21"/>
  <c r="F48" i="21"/>
  <c r="F43" i="21"/>
  <c r="F39" i="21"/>
  <c r="F32" i="21"/>
  <c r="F24" i="21"/>
  <c r="F45" i="21"/>
  <c r="F70" i="21"/>
  <c r="F31" i="21"/>
  <c r="F50" i="21"/>
  <c r="F71" i="21"/>
  <c r="F62" i="21"/>
  <c r="F59" i="21"/>
  <c r="F54" i="21"/>
  <c r="F51" i="21"/>
  <c r="F66" i="21"/>
  <c r="F38" i="21"/>
  <c r="F29" i="21"/>
  <c r="F74" i="21"/>
  <c r="F42" i="21"/>
  <c r="X18" i="19"/>
  <c r="P27" i="19"/>
  <c r="R76" i="24"/>
  <c r="R72" i="24"/>
  <c r="R63" i="24"/>
  <c r="R56" i="24"/>
  <c r="R51" i="24"/>
  <c r="R47" i="24"/>
  <c r="R59" i="24"/>
  <c r="R50" i="24"/>
  <c r="R65" i="24"/>
  <c r="R62" i="24"/>
  <c r="R53" i="24"/>
  <c r="R79" i="24"/>
  <c r="R68" i="24"/>
  <c r="R49" i="24"/>
  <c r="R75" i="24"/>
  <c r="R71" i="24"/>
  <c r="R67" i="24"/>
  <c r="R64" i="24"/>
  <c r="R55" i="24"/>
  <c r="R52" i="24"/>
  <c r="R44" i="24"/>
  <c r="R74" i="24"/>
  <c r="R70" i="24"/>
  <c r="R58" i="24"/>
  <c r="R69" i="24"/>
  <c r="R54" i="24"/>
  <c r="R36" i="24"/>
  <c r="R29" i="24"/>
  <c r="X12" i="24"/>
  <c r="R66" i="24"/>
  <c r="R48" i="24"/>
  <c r="R35" i="24"/>
  <c r="R34" i="24"/>
  <c r="R73" i="24"/>
  <c r="R60" i="24"/>
  <c r="P41" i="24"/>
  <c r="R33" i="24"/>
  <c r="R61" i="24"/>
  <c r="R32" i="24"/>
  <c r="R77" i="24"/>
  <c r="R45" i="24"/>
  <c r="R39" i="24"/>
  <c r="R31" i="24"/>
  <c r="R37" i="24"/>
  <c r="R46" i="24"/>
  <c r="R38" i="24"/>
  <c r="R83" i="24"/>
  <c r="R43" i="24"/>
  <c r="R57" i="24"/>
  <c r="R30" i="24"/>
  <c r="X18" i="23"/>
  <c r="P27" i="23"/>
  <c r="L18" i="29"/>
  <c r="D27" i="29"/>
  <c r="V62" i="24"/>
  <c r="V50" i="24"/>
  <c r="V46" i="24"/>
  <c r="V79" i="24"/>
  <c r="V65" i="24"/>
  <c r="V53" i="24"/>
  <c r="V68" i="24"/>
  <c r="V64" i="24"/>
  <c r="V52" i="24"/>
  <c r="V75" i="24"/>
  <c r="V71" i="24"/>
  <c r="V67" i="24"/>
  <c r="V55" i="24"/>
  <c r="V74" i="24"/>
  <c r="V70" i="24"/>
  <c r="V66" i="24"/>
  <c r="V58" i="24"/>
  <c r="V54" i="24"/>
  <c r="V83" i="24"/>
  <c r="V77" i="24"/>
  <c r="V73" i="24"/>
  <c r="V69" i="24"/>
  <c r="V61" i="24"/>
  <c r="V57" i="24"/>
  <c r="V59" i="24"/>
  <c r="V48" i="24"/>
  <c r="V41" i="24"/>
  <c r="V35" i="24"/>
  <c r="V76" i="24"/>
  <c r="T41" i="24"/>
  <c r="V34" i="24"/>
  <c r="V60" i="24"/>
  <c r="V56" i="24"/>
  <c r="V33" i="24"/>
  <c r="V44" i="24"/>
  <c r="V32" i="24"/>
  <c r="V45" i="24"/>
  <c r="V39" i="24"/>
  <c r="V31" i="24"/>
  <c r="V51" i="24"/>
  <c r="V43" i="24"/>
  <c r="V38" i="24"/>
  <c r="V30" i="24"/>
  <c r="V29" i="24"/>
  <c r="Z12" i="24"/>
  <c r="V72" i="24"/>
  <c r="V63" i="24"/>
  <c r="V36" i="24"/>
  <c r="V49" i="24"/>
  <c r="V37" i="24"/>
  <c r="V47" i="24"/>
  <c r="T31" i="17"/>
  <c r="Z27" i="17"/>
  <c r="N18" i="13"/>
  <c r="H27" i="13"/>
  <c r="L18" i="5"/>
  <c r="D27" i="5"/>
  <c r="P84" i="9"/>
  <c r="X16" i="9"/>
  <c r="P31" i="29"/>
  <c r="P27" i="4"/>
  <c r="X18" i="4"/>
  <c r="X16" i="6"/>
  <c r="H84" i="9"/>
  <c r="N16" i="9"/>
  <c r="H27" i="5"/>
  <c r="N18" i="5"/>
  <c r="P31" i="5"/>
  <c r="H27" i="98"/>
  <c r="L27" i="98" s="1"/>
  <c r="N18" i="98"/>
  <c r="V32" i="84"/>
  <c r="V22" i="84"/>
  <c r="T17" i="84"/>
  <c r="V27" i="84"/>
  <c r="V19" i="84"/>
  <c r="V15" i="84"/>
  <c r="V36" i="84"/>
  <c r="V30" i="84"/>
  <c r="V26" i="84"/>
  <c r="V23" i="84"/>
  <c r="V21" i="84"/>
  <c r="V20" i="84"/>
  <c r="V17" i="84"/>
  <c r="V29" i="84"/>
  <c r="V28" i="84"/>
  <c r="V24" i="84"/>
  <c r="X12" i="84"/>
  <c r="Z12" i="84" s="1"/>
  <c r="V25" i="84"/>
  <c r="T44" i="61"/>
  <c r="Z16" i="61"/>
  <c r="H27" i="47"/>
  <c r="N18" i="47"/>
  <c r="X18" i="28"/>
  <c r="P27" i="28"/>
  <c r="F55" i="33"/>
  <c r="F43" i="33"/>
  <c r="F39" i="33"/>
  <c r="F69" i="33"/>
  <c r="F66" i="33"/>
  <c r="F61" i="33"/>
  <c r="F58" i="33"/>
  <c r="F49" i="33"/>
  <c r="F46" i="33"/>
  <c r="F42" i="33"/>
  <c r="F38" i="33"/>
  <c r="F25" i="33"/>
  <c r="F74" i="33"/>
  <c r="F65" i="33"/>
  <c r="F57" i="33"/>
  <c r="F37" i="33"/>
  <c r="F32" i="33"/>
  <c r="F72" i="33"/>
  <c r="F63" i="33"/>
  <c r="F54" i="33"/>
  <c r="F35" i="33"/>
  <c r="D29" i="33"/>
  <c r="F27" i="33"/>
  <c r="F70" i="33"/>
  <c r="F62" i="33"/>
  <c r="F50" i="33"/>
  <c r="F45" i="33"/>
  <c r="F41" i="33"/>
  <c r="F34" i="33"/>
  <c r="F26" i="33"/>
  <c r="F56" i="33"/>
  <c r="F53" i="33"/>
  <c r="F73" i="33"/>
  <c r="F31" i="33"/>
  <c r="F48" i="33"/>
  <c r="F36" i="33"/>
  <c r="F33" i="33"/>
  <c r="F47" i="33"/>
  <c r="F44" i="33"/>
  <c r="F40" i="33"/>
  <c r="F68" i="33"/>
  <c r="F78" i="33"/>
  <c r="F52" i="33"/>
  <c r="L12" i="33"/>
  <c r="F64" i="33"/>
  <c r="F59" i="33"/>
  <c r="F51" i="33"/>
  <c r="F67" i="33"/>
  <c r="F29" i="33"/>
  <c r="F60" i="33"/>
  <c r="N198" i="15"/>
  <c r="L18" i="16"/>
  <c r="D27" i="16"/>
  <c r="P27" i="97"/>
  <c r="X18" i="97"/>
  <c r="V76" i="93"/>
  <c r="V70" i="93"/>
  <c r="V50" i="93"/>
  <c r="V42" i="93"/>
  <c r="V34" i="93"/>
  <c r="V69" i="93"/>
  <c r="V71" i="93"/>
  <c r="V80" i="93"/>
  <c r="V74" i="93"/>
  <c r="V66" i="93"/>
  <c r="V62" i="93"/>
  <c r="V58" i="93"/>
  <c r="V54" i="93"/>
  <c r="V46" i="93"/>
  <c r="V73" i="93"/>
  <c r="V57" i="93"/>
  <c r="V56" i="93"/>
  <c r="V49" i="93"/>
  <c r="V48" i="93"/>
  <c r="V36" i="93"/>
  <c r="V35" i="93"/>
  <c r="V27" i="93"/>
  <c r="V23" i="93"/>
  <c r="V19" i="93"/>
  <c r="V72" i="93"/>
  <c r="V65" i="93"/>
  <c r="V64" i="93"/>
  <c r="V63" i="93"/>
  <c r="V26" i="93"/>
  <c r="V18" i="93"/>
  <c r="V41" i="93"/>
  <c r="V25" i="93"/>
  <c r="V17" i="93"/>
  <c r="V67" i="93"/>
  <c r="V55" i="93"/>
  <c r="V47" i="93"/>
  <c r="V40" i="93"/>
  <c r="V33" i="93"/>
  <c r="V24" i="93"/>
  <c r="V68" i="93"/>
  <c r="V61" i="93"/>
  <c r="V60" i="93"/>
  <c r="V53" i="93"/>
  <c r="V52" i="93"/>
  <c r="V45" i="93"/>
  <c r="V44" i="93"/>
  <c r="V32" i="93"/>
  <c r="V31" i="93"/>
  <c r="V59" i="93"/>
  <c r="V30" i="93"/>
  <c r="T21" i="93"/>
  <c r="X21" i="93" s="1"/>
  <c r="V51" i="93"/>
  <c r="V43" i="93"/>
  <c r="V39" i="93"/>
  <c r="V38" i="93"/>
  <c r="V37" i="93"/>
  <c r="V28" i="93"/>
  <c r="V29" i="93"/>
  <c r="T58" i="96"/>
  <c r="L18" i="99"/>
  <c r="D27" i="99"/>
  <c r="H58" i="96"/>
  <c r="J17" i="96"/>
  <c r="H78" i="93"/>
  <c r="L17" i="89"/>
  <c r="D37" i="89"/>
  <c r="D28" i="92"/>
  <c r="L24" i="92"/>
  <c r="P34" i="88"/>
  <c r="X30" i="88"/>
  <c r="X16" i="92"/>
  <c r="P24" i="92"/>
  <c r="H37" i="89"/>
  <c r="N17" i="89"/>
  <c r="H34" i="84"/>
  <c r="N17" i="84"/>
  <c r="P36" i="87"/>
  <c r="X32" i="87"/>
  <c r="F69" i="85"/>
  <c r="F64" i="85"/>
  <c r="F61" i="85"/>
  <c r="F53" i="85"/>
  <c r="F48" i="85"/>
  <c r="F45" i="85"/>
  <c r="F32" i="85"/>
  <c r="F25" i="85"/>
  <c r="F17" i="85"/>
  <c r="F72" i="85"/>
  <c r="F68" i="85"/>
  <c r="F60" i="85"/>
  <c r="F56" i="85"/>
  <c r="F44" i="85"/>
  <c r="F39" i="85"/>
  <c r="F36" i="85"/>
  <c r="F76" i="85"/>
  <c r="F67" i="85"/>
  <c r="F63" i="85"/>
  <c r="F59" i="85"/>
  <c r="F55" i="85"/>
  <c r="F50" i="85"/>
  <c r="F47" i="85"/>
  <c r="F35" i="85"/>
  <c r="F74" i="85"/>
  <c r="F66" i="85"/>
  <c r="F58" i="85"/>
  <c r="F41" i="85"/>
  <c r="F38" i="85"/>
  <c r="F34" i="85"/>
  <c r="F30" i="85"/>
  <c r="F65" i="85"/>
  <c r="F52" i="85"/>
  <c r="F49" i="85"/>
  <c r="F33" i="85"/>
  <c r="F29" i="85"/>
  <c r="F16" i="85"/>
  <c r="F77" i="85"/>
  <c r="F71" i="85"/>
  <c r="F43" i="85"/>
  <c r="F40" i="85"/>
  <c r="F57" i="85"/>
  <c r="F81" i="85"/>
  <c r="F24" i="85"/>
  <c r="F73" i="85"/>
  <c r="F54" i="85"/>
  <c r="F31" i="85"/>
  <c r="F23" i="85"/>
  <c r="F18" i="85"/>
  <c r="L12" i="85"/>
  <c r="N12" i="85" s="1"/>
  <c r="F62" i="85"/>
  <c r="F37" i="85"/>
  <c r="F42" i="85"/>
  <c r="F26" i="85"/>
  <c r="F22" i="85"/>
  <c r="F70" i="85"/>
  <c r="F51" i="85"/>
  <c r="F28" i="85"/>
  <c r="D20" i="85"/>
  <c r="F46" i="85"/>
  <c r="F27" i="85"/>
  <c r="T36" i="82"/>
  <c r="T36" i="87"/>
  <c r="Z32" i="87"/>
  <c r="P23" i="75"/>
  <c r="R31" i="75"/>
  <c r="R21" i="75"/>
  <c r="R25" i="75"/>
  <c r="R20" i="75"/>
  <c r="X12" i="75"/>
  <c r="Z12" i="75" s="1"/>
  <c r="R19" i="75"/>
  <c r="R27" i="75"/>
  <c r="R23" i="75"/>
  <c r="R18" i="75"/>
  <c r="T32" i="80"/>
  <c r="Z16" i="80"/>
  <c r="V23" i="75"/>
  <c r="T61" i="73"/>
  <c r="V73" i="76"/>
  <c r="V67" i="76"/>
  <c r="V61" i="76"/>
  <c r="V49" i="76"/>
  <c r="V37" i="76"/>
  <c r="V25" i="76"/>
  <c r="V17" i="76"/>
  <c r="V60" i="76"/>
  <c r="V56" i="76"/>
  <c r="V52" i="76"/>
  <c r="V48" i="76"/>
  <c r="V40" i="76"/>
  <c r="V24" i="76"/>
  <c r="V16" i="76"/>
  <c r="V63" i="76"/>
  <c r="V59" i="76"/>
  <c r="V55" i="76"/>
  <c r="V51" i="76"/>
  <c r="V43" i="76"/>
  <c r="V39" i="76"/>
  <c r="V23" i="76"/>
  <c r="V62" i="76"/>
  <c r="V58" i="76"/>
  <c r="V54" i="76"/>
  <c r="V50" i="76"/>
  <c r="V42" i="76"/>
  <c r="V34" i="76"/>
  <c r="V30" i="76"/>
  <c r="V20" i="76"/>
  <c r="V76" i="76"/>
  <c r="V71" i="76"/>
  <c r="V69" i="76"/>
  <c r="V65" i="76"/>
  <c r="V57" i="76"/>
  <c r="V53" i="76"/>
  <c r="V45" i="76"/>
  <c r="V41" i="76"/>
  <c r="V33" i="76"/>
  <c r="V29" i="76"/>
  <c r="T20" i="76"/>
  <c r="V64" i="76"/>
  <c r="V44" i="76"/>
  <c r="V36" i="76"/>
  <c r="V32" i="76"/>
  <c r="V28" i="76"/>
  <c r="Z12" i="76"/>
  <c r="V46" i="76"/>
  <c r="V38" i="76"/>
  <c r="V26" i="76"/>
  <c r="V22" i="76"/>
  <c r="V18" i="76"/>
  <c r="V31" i="76"/>
  <c r="V27" i="76"/>
  <c r="V35" i="76"/>
  <c r="V47" i="76"/>
  <c r="P32" i="78"/>
  <c r="X28" i="78"/>
  <c r="H32" i="65"/>
  <c r="N16" i="65"/>
  <c r="T48" i="67"/>
  <c r="D107" i="66"/>
  <c r="V103" i="66"/>
  <c r="V97" i="66"/>
  <c r="V93" i="66"/>
  <c r="V81" i="66"/>
  <c r="V73" i="66"/>
  <c r="V69" i="66"/>
  <c r="V57" i="66"/>
  <c r="V100" i="66"/>
  <c r="V96" i="66"/>
  <c r="V84" i="66"/>
  <c r="V76" i="66"/>
  <c r="V68" i="66"/>
  <c r="V64" i="66"/>
  <c r="V56" i="66"/>
  <c r="V48" i="66"/>
  <c r="V40" i="66"/>
  <c r="V99" i="66"/>
  <c r="V83" i="66"/>
  <c r="V75" i="66"/>
  <c r="V67" i="66"/>
  <c r="V63" i="66"/>
  <c r="V109" i="66"/>
  <c r="V89" i="66"/>
  <c r="V85" i="66"/>
  <c r="V77" i="66"/>
  <c r="V102" i="66"/>
  <c r="V92" i="66"/>
  <c r="V88" i="66"/>
  <c r="V105" i="66"/>
  <c r="V104" i="66"/>
  <c r="V79" i="66"/>
  <c r="V46" i="66"/>
  <c r="Z12" i="66"/>
  <c r="V78" i="66"/>
  <c r="V45" i="66"/>
  <c r="V44" i="66"/>
  <c r="V43" i="66"/>
  <c r="V80" i="66"/>
  <c r="V60" i="66"/>
  <c r="V59" i="66"/>
  <c r="V42" i="66"/>
  <c r="V41" i="66"/>
  <c r="V39" i="66"/>
  <c r="V38" i="66"/>
  <c r="V98" i="66"/>
  <c r="V82" i="66"/>
  <c r="V71" i="66"/>
  <c r="V70" i="66"/>
  <c r="V61" i="66"/>
  <c r="V58" i="66"/>
  <c r="V54" i="66"/>
  <c r="V37" i="66"/>
  <c r="V36" i="66"/>
  <c r="V94" i="66"/>
  <c r="V65" i="66"/>
  <c r="V62" i="66"/>
  <c r="V95" i="66"/>
  <c r="V74" i="66"/>
  <c r="V72" i="66"/>
  <c r="V66" i="66"/>
  <c r="V52" i="66"/>
  <c r="V91" i="66"/>
  <c r="V87" i="66"/>
  <c r="T52" i="66"/>
  <c r="V49" i="66"/>
  <c r="V86" i="66"/>
  <c r="V47" i="66"/>
  <c r="V50" i="66"/>
  <c r="V55" i="66"/>
  <c r="V90" i="66"/>
  <c r="H27" i="49"/>
  <c r="N18" i="49"/>
  <c r="D27" i="46"/>
  <c r="L18" i="46"/>
  <c r="L16" i="55"/>
  <c r="J88" i="42"/>
  <c r="P58" i="48"/>
  <c r="F85" i="42"/>
  <c r="F82" i="42"/>
  <c r="F78" i="42"/>
  <c r="F73" i="42"/>
  <c r="F70" i="42"/>
  <c r="F45" i="42"/>
  <c r="F42" i="42"/>
  <c r="F34" i="42"/>
  <c r="F30" i="42"/>
  <c r="F17" i="42"/>
  <c r="F90" i="42"/>
  <c r="F77" i="42"/>
  <c r="F69" i="42"/>
  <c r="F65" i="42"/>
  <c r="F61" i="42"/>
  <c r="F56" i="42"/>
  <c r="F53" i="42"/>
  <c r="F48" i="42"/>
  <c r="F29" i="42"/>
  <c r="F24" i="42"/>
  <c r="F84" i="42"/>
  <c r="F76" i="42"/>
  <c r="F72" i="42"/>
  <c r="F68" i="42"/>
  <c r="F64" i="42"/>
  <c r="F44" i="42"/>
  <c r="F39" i="42"/>
  <c r="F28" i="42"/>
  <c r="F21" i="42"/>
  <c r="L12" i="42"/>
  <c r="N12" i="42" s="1"/>
  <c r="F88" i="42"/>
  <c r="F75" i="42"/>
  <c r="F67" i="42"/>
  <c r="F63" i="42"/>
  <c r="F58" i="42"/>
  <c r="F55" i="42"/>
  <c r="F50" i="42"/>
  <c r="F47" i="42"/>
  <c r="F27" i="42"/>
  <c r="D21" i="42"/>
  <c r="F19" i="42"/>
  <c r="F91" i="42"/>
  <c r="F86" i="42"/>
  <c r="F81" i="42"/>
  <c r="F74" i="42"/>
  <c r="F46" i="42"/>
  <c r="F41" i="42"/>
  <c r="F38" i="42"/>
  <c r="F33" i="42"/>
  <c r="F26" i="42"/>
  <c r="F18" i="42"/>
  <c r="F95" i="42"/>
  <c r="F60" i="42"/>
  <c r="F57" i="42"/>
  <c r="F52" i="42"/>
  <c r="F49" i="42"/>
  <c r="F37" i="42"/>
  <c r="F25" i="42"/>
  <c r="F83" i="42"/>
  <c r="F35" i="42"/>
  <c r="F79" i="42"/>
  <c r="F32" i="42"/>
  <c r="F80" i="42"/>
  <c r="F54" i="42"/>
  <c r="F51" i="42"/>
  <c r="F23" i="42"/>
  <c r="F66" i="42"/>
  <c r="F36" i="42"/>
  <c r="F89" i="42"/>
  <c r="F62" i="42"/>
  <c r="F59" i="42"/>
  <c r="F43" i="42"/>
  <c r="F40" i="42"/>
  <c r="F31" i="42"/>
  <c r="F71" i="42"/>
  <c r="V83" i="45"/>
  <c r="V71" i="45"/>
  <c r="V67" i="45"/>
  <c r="V63" i="45"/>
  <c r="V59" i="45"/>
  <c r="V51" i="45"/>
  <c r="V43" i="45"/>
  <c r="V35" i="45"/>
  <c r="V31" i="45"/>
  <c r="V21" i="45"/>
  <c r="V82" i="45"/>
  <c r="V70" i="45"/>
  <c r="V66" i="45"/>
  <c r="V62" i="45"/>
  <c r="V54" i="45"/>
  <c r="V46" i="45"/>
  <c r="V34" i="45"/>
  <c r="V30" i="45"/>
  <c r="T21" i="45"/>
  <c r="V77" i="45"/>
  <c r="V69" i="45"/>
  <c r="V65" i="45"/>
  <c r="V61" i="45"/>
  <c r="V53" i="45"/>
  <c r="V45" i="45"/>
  <c r="V29" i="45"/>
  <c r="V86" i="45"/>
  <c r="V76" i="45"/>
  <c r="V56" i="45"/>
  <c r="V48" i="45"/>
  <c r="V40" i="45"/>
  <c r="V28" i="45"/>
  <c r="Z12" i="45"/>
  <c r="V79" i="45"/>
  <c r="V75" i="45"/>
  <c r="V55" i="45"/>
  <c r="V47" i="45"/>
  <c r="V39" i="45"/>
  <c r="V27" i="45"/>
  <c r="V23" i="45"/>
  <c r="V19" i="45"/>
  <c r="V78" i="45"/>
  <c r="V74" i="45"/>
  <c r="V58" i="45"/>
  <c r="V50" i="45"/>
  <c r="V42" i="45"/>
  <c r="V38" i="45"/>
  <c r="V26" i="45"/>
  <c r="V18" i="45"/>
  <c r="V81" i="45"/>
  <c r="V73" i="45"/>
  <c r="V57" i="45"/>
  <c r="V49" i="45"/>
  <c r="V41" i="45"/>
  <c r="V37" i="45"/>
  <c r="V90" i="45"/>
  <c r="V72" i="45"/>
  <c r="V44" i="45"/>
  <c r="V60" i="45"/>
  <c r="V68" i="45"/>
  <c r="V32" i="45"/>
  <c r="V24" i="45"/>
  <c r="V52" i="45"/>
  <c r="V84" i="45"/>
  <c r="V17" i="45"/>
  <c r="V80" i="45"/>
  <c r="V25" i="45"/>
  <c r="V64" i="45"/>
  <c r="V33" i="45"/>
  <c r="V36" i="45"/>
  <c r="L17" i="48"/>
  <c r="D58" i="48"/>
  <c r="T27" i="38"/>
  <c r="Z18" i="38"/>
  <c r="F76" i="45"/>
  <c r="F59" i="45"/>
  <c r="F56" i="45"/>
  <c r="F51" i="45"/>
  <c r="F48" i="45"/>
  <c r="F43" i="45"/>
  <c r="F40" i="45"/>
  <c r="F28" i="45"/>
  <c r="L12" i="45"/>
  <c r="N12" i="45" s="1"/>
  <c r="F82" i="45"/>
  <c r="F79" i="45"/>
  <c r="F75" i="45"/>
  <c r="F39" i="45"/>
  <c r="F34" i="45"/>
  <c r="F27" i="45"/>
  <c r="D21" i="45"/>
  <c r="F19" i="45"/>
  <c r="F74" i="45"/>
  <c r="F69" i="45"/>
  <c r="F65" i="45"/>
  <c r="F61" i="45"/>
  <c r="F58" i="45"/>
  <c r="F53" i="45"/>
  <c r="F50" i="45"/>
  <c r="F45" i="45"/>
  <c r="F42" i="45"/>
  <c r="F38" i="45"/>
  <c r="F26" i="45"/>
  <c r="F18" i="45"/>
  <c r="F86" i="45"/>
  <c r="F81" i="45"/>
  <c r="F73" i="45"/>
  <c r="F37" i="45"/>
  <c r="F33" i="45"/>
  <c r="F25" i="45"/>
  <c r="F90" i="45"/>
  <c r="F84" i="45"/>
  <c r="F72" i="45"/>
  <c r="F68" i="45"/>
  <c r="F64" i="45"/>
  <c r="F60" i="45"/>
  <c r="F55" i="45"/>
  <c r="F52" i="45"/>
  <c r="F47" i="45"/>
  <c r="F44" i="45"/>
  <c r="F36" i="45"/>
  <c r="F32" i="45"/>
  <c r="F23" i="45"/>
  <c r="F83" i="45"/>
  <c r="F78" i="45"/>
  <c r="F71" i="45"/>
  <c r="F67" i="45"/>
  <c r="F63" i="45"/>
  <c r="F35" i="45"/>
  <c r="F31" i="45"/>
  <c r="F70" i="45"/>
  <c r="F66" i="45"/>
  <c r="F62" i="45"/>
  <c r="F57" i="45"/>
  <c r="F54" i="45"/>
  <c r="F49" i="45"/>
  <c r="F46" i="45"/>
  <c r="F41" i="45"/>
  <c r="F30" i="45"/>
  <c r="F24" i="45"/>
  <c r="F77" i="45"/>
  <c r="F17" i="45"/>
  <c r="F80" i="45"/>
  <c r="F29" i="45"/>
  <c r="H36" i="50"/>
  <c r="N36" i="50" s="1"/>
  <c r="N31" i="50"/>
  <c r="J74" i="33"/>
  <c r="J66" i="33"/>
  <c r="J58" i="33"/>
  <c r="J46" i="33"/>
  <c r="J42" i="33"/>
  <c r="J38" i="33"/>
  <c r="J32" i="33"/>
  <c r="J65" i="33"/>
  <c r="J57" i="33"/>
  <c r="J51" i="33"/>
  <c r="J37" i="33"/>
  <c r="J29" i="33"/>
  <c r="J78" i="33"/>
  <c r="J72" i="33"/>
  <c r="J68" i="33"/>
  <c r="J64" i="33"/>
  <c r="J60" i="33"/>
  <c r="J54" i="33"/>
  <c r="J48" i="33"/>
  <c r="J36" i="33"/>
  <c r="H29" i="33"/>
  <c r="N12" i="33"/>
  <c r="J70" i="33"/>
  <c r="J62" i="33"/>
  <c r="J56" i="33"/>
  <c r="J50" i="33"/>
  <c r="J34" i="33"/>
  <c r="J26" i="33"/>
  <c r="J73" i="33"/>
  <c r="J67" i="33"/>
  <c r="J59" i="33"/>
  <c r="J53" i="33"/>
  <c r="J47" i="33"/>
  <c r="J33" i="33"/>
  <c r="J31" i="33"/>
  <c r="J52" i="33"/>
  <c r="J44" i="33"/>
  <c r="J69" i="33"/>
  <c r="J35" i="33"/>
  <c r="J25" i="33"/>
  <c r="J49" i="33"/>
  <c r="J39" i="33"/>
  <c r="J43" i="33"/>
  <c r="J40" i="33"/>
  <c r="J63" i="33"/>
  <c r="J41" i="33"/>
  <c r="J27" i="33"/>
  <c r="J45" i="33"/>
  <c r="J61" i="33"/>
  <c r="J55" i="33"/>
  <c r="X98" i="39"/>
  <c r="Z98" i="39" s="1"/>
  <c r="V105" i="39"/>
  <c r="V95" i="39"/>
  <c r="V83" i="39"/>
  <c r="V67" i="39"/>
  <c r="V55" i="39"/>
  <c r="V47" i="39"/>
  <c r="V35" i="39"/>
  <c r="V27" i="39"/>
  <c r="V100" i="39"/>
  <c r="V90" i="39"/>
  <c r="V66" i="39"/>
  <c r="V58" i="39"/>
  <c r="V54" i="39"/>
  <c r="V46" i="39"/>
  <c r="V34" i="39"/>
  <c r="V26" i="39"/>
  <c r="V89" i="39"/>
  <c r="V69" i="39"/>
  <c r="V57" i="39"/>
  <c r="V49" i="39"/>
  <c r="V45" i="39"/>
  <c r="V41" i="39"/>
  <c r="V33" i="39"/>
  <c r="V101" i="39"/>
  <c r="V91" i="39"/>
  <c r="V87" i="39"/>
  <c r="V79" i="39"/>
  <c r="V75" i="39"/>
  <c r="V71" i="39"/>
  <c r="V63" i="39"/>
  <c r="V59" i="39"/>
  <c r="V51" i="39"/>
  <c r="V43" i="39"/>
  <c r="V39" i="39"/>
  <c r="T30" i="39"/>
  <c r="V94" i="39"/>
  <c r="V86" i="39"/>
  <c r="V82" i="39"/>
  <c r="V78" i="39"/>
  <c r="V74" i="39"/>
  <c r="V70" i="39"/>
  <c r="V62" i="39"/>
  <c r="V50" i="39"/>
  <c r="V42" i="39"/>
  <c r="V38" i="39"/>
  <c r="V99" i="39"/>
  <c r="V93" i="39"/>
  <c r="V85" i="39"/>
  <c r="V81" i="39"/>
  <c r="V77" i="39"/>
  <c r="V73" i="39"/>
  <c r="V65" i="39"/>
  <c r="V61" i="39"/>
  <c r="V53" i="39"/>
  <c r="V37" i="39"/>
  <c r="V92" i="39"/>
  <c r="V88" i="39"/>
  <c r="V44" i="39"/>
  <c r="V30" i="39"/>
  <c r="V96" i="39"/>
  <c r="V80" i="39"/>
  <c r="V52" i="39"/>
  <c r="V48" i="39"/>
  <c r="V32" i="39"/>
  <c r="Z12" i="39"/>
  <c r="V84" i="39"/>
  <c r="V76" i="39"/>
  <c r="V72" i="39"/>
  <c r="V68" i="39"/>
  <c r="V56" i="39"/>
  <c r="V60" i="39"/>
  <c r="V40" i="39"/>
  <c r="V28" i="39"/>
  <c r="V98" i="39"/>
  <c r="V64" i="39"/>
  <c r="V36" i="39"/>
  <c r="D36" i="34"/>
  <c r="X88" i="42"/>
  <c r="Z88" i="42" s="1"/>
  <c r="P27" i="40"/>
  <c r="X18" i="40"/>
  <c r="H27" i="41"/>
  <c r="N18" i="41"/>
  <c r="J107" i="36"/>
  <c r="J101" i="36"/>
  <c r="J89" i="36"/>
  <c r="J79" i="36"/>
  <c r="J65" i="36"/>
  <c r="J57" i="36"/>
  <c r="J43" i="36"/>
  <c r="J37" i="36"/>
  <c r="J33" i="36"/>
  <c r="J19" i="36"/>
  <c r="J94" i="36"/>
  <c r="J88" i="36"/>
  <c r="J74" i="36"/>
  <c r="J70" i="36"/>
  <c r="J62" i="36"/>
  <c r="J54" i="36"/>
  <c r="J48" i="36"/>
  <c r="J32" i="36"/>
  <c r="J26" i="36"/>
  <c r="J97" i="36"/>
  <c r="J91" i="36"/>
  <c r="J87" i="36"/>
  <c r="J81" i="36"/>
  <c r="J67" i="36"/>
  <c r="J59" i="36"/>
  <c r="J51" i="36"/>
  <c r="J45" i="36"/>
  <c r="J31" i="36"/>
  <c r="J93" i="36"/>
  <c r="J85" i="36"/>
  <c r="J77" i="36"/>
  <c r="J73" i="36"/>
  <c r="J69" i="36"/>
  <c r="J61" i="36"/>
  <c r="J53" i="36"/>
  <c r="J47" i="36"/>
  <c r="J41" i="36"/>
  <c r="J29" i="36"/>
  <c r="J21" i="36"/>
  <c r="J100" i="36"/>
  <c r="J96" i="36"/>
  <c r="J90" i="36"/>
  <c r="J84" i="36"/>
  <c r="J80" i="36"/>
  <c r="J76" i="36"/>
  <c r="J72" i="36"/>
  <c r="J66" i="36"/>
  <c r="J58" i="36"/>
  <c r="J44" i="36"/>
  <c r="J40" i="36"/>
  <c r="J28" i="36"/>
  <c r="J20" i="36"/>
  <c r="N12" i="36"/>
  <c r="J103" i="36"/>
  <c r="J95" i="36"/>
  <c r="J83" i="36"/>
  <c r="J75" i="36"/>
  <c r="J71" i="36"/>
  <c r="J63" i="36"/>
  <c r="J55" i="36"/>
  <c r="J49" i="36"/>
  <c r="J39" i="36"/>
  <c r="J35" i="36"/>
  <c r="J27" i="36"/>
  <c r="J25" i="36"/>
  <c r="J92" i="36"/>
  <c r="J34" i="36"/>
  <c r="H23" i="36"/>
  <c r="J52" i="36"/>
  <c r="J42" i="36"/>
  <c r="J102" i="36"/>
  <c r="J98" i="36"/>
  <c r="J68" i="36"/>
  <c r="J30" i="36"/>
  <c r="J86" i="36"/>
  <c r="J64" i="36"/>
  <c r="J46" i="36"/>
  <c r="J38" i="36"/>
  <c r="J78" i="36"/>
  <c r="J60" i="36"/>
  <c r="J36" i="36"/>
  <c r="J56" i="36"/>
  <c r="J82" i="36"/>
  <c r="J50" i="36"/>
  <c r="H27" i="29"/>
  <c r="N18" i="29"/>
  <c r="D31" i="28"/>
  <c r="N220" i="18"/>
  <c r="X134" i="18"/>
  <c r="P228" i="18"/>
  <c r="P31" i="10"/>
  <c r="X198" i="15"/>
  <c r="Z198" i="15" s="1"/>
  <c r="H36" i="4"/>
  <c r="N36" i="4" s="1"/>
  <c r="N31" i="4"/>
  <c r="L18" i="7"/>
  <c r="N55" i="96"/>
  <c r="F97" i="77"/>
  <c r="F91" i="77"/>
  <c r="F86" i="77"/>
  <c r="F75" i="77"/>
  <c r="F81" i="77"/>
  <c r="F78" i="77"/>
  <c r="F74" i="77"/>
  <c r="F69" i="77"/>
  <c r="F66" i="77"/>
  <c r="F61" i="77"/>
  <c r="F58" i="77"/>
  <c r="F88" i="77"/>
  <c r="F85" i="77"/>
  <c r="F77" i="77"/>
  <c r="F84" i="77"/>
  <c r="F80" i="77"/>
  <c r="F71" i="77"/>
  <c r="F68" i="77"/>
  <c r="F63" i="77"/>
  <c r="F60" i="77"/>
  <c r="F56" i="77"/>
  <c r="F90" i="77"/>
  <c r="F87" i="77"/>
  <c r="F83" i="77"/>
  <c r="F82" i="77"/>
  <c r="F73" i="77"/>
  <c r="F70" i="77"/>
  <c r="F65" i="77"/>
  <c r="F62" i="77"/>
  <c r="F54" i="77"/>
  <c r="F49" i="77"/>
  <c r="F44" i="77"/>
  <c r="F79" i="77"/>
  <c r="F64" i="77"/>
  <c r="F57" i="77"/>
  <c r="F48" i="77"/>
  <c r="F35" i="77"/>
  <c r="F93" i="77"/>
  <c r="F89" i="77"/>
  <c r="F76" i="77"/>
  <c r="F47" i="77"/>
  <c r="D41" i="77"/>
  <c r="F41" i="77" s="1"/>
  <c r="F39" i="77"/>
  <c r="F72" i="77"/>
  <c r="F53" i="77"/>
  <c r="F46" i="77"/>
  <c r="F38" i="77"/>
  <c r="F67" i="77"/>
  <c r="F59" i="77"/>
  <c r="F45" i="77"/>
  <c r="F37" i="77"/>
  <c r="F52" i="77"/>
  <c r="F43" i="77"/>
  <c r="F36" i="77"/>
  <c r="L12" i="77"/>
  <c r="N12" i="77" s="1"/>
  <c r="F55" i="77"/>
  <c r="F50" i="77"/>
  <c r="F51" i="77"/>
  <c r="R70" i="70"/>
  <c r="R63" i="70"/>
  <c r="R55" i="70"/>
  <c r="R52" i="70"/>
  <c r="R35" i="70"/>
  <c r="P27" i="70"/>
  <c r="R66" i="70"/>
  <c r="R62" i="70"/>
  <c r="R58" i="70"/>
  <c r="R46" i="70"/>
  <c r="R43" i="70"/>
  <c r="R39" i="70"/>
  <c r="R34" i="70"/>
  <c r="R61" i="70"/>
  <c r="R54" i="70"/>
  <c r="R33" i="70"/>
  <c r="R51" i="70"/>
  <c r="R31" i="70"/>
  <c r="R67" i="70"/>
  <c r="R59" i="70"/>
  <c r="R50" i="70"/>
  <c r="R47" i="70"/>
  <c r="R42" i="70"/>
  <c r="R38" i="70"/>
  <c r="R56" i="70"/>
  <c r="R29" i="70"/>
  <c r="R27" i="70"/>
  <c r="R44" i="70"/>
  <c r="R30" i="70"/>
  <c r="X12" i="70"/>
  <c r="Z12" i="70" s="1"/>
  <c r="R65" i="70"/>
  <c r="R60" i="70"/>
  <c r="R64" i="70"/>
  <c r="R49" i="70"/>
  <c r="R48" i="70"/>
  <c r="R40" i="70"/>
  <c r="R75" i="70"/>
  <c r="R41" i="70"/>
  <c r="R25" i="70"/>
  <c r="R36" i="70"/>
  <c r="R45" i="70"/>
  <c r="R68" i="70"/>
  <c r="R37" i="70"/>
  <c r="R57" i="70"/>
  <c r="R53" i="70"/>
  <c r="R71" i="70"/>
  <c r="R32" i="70"/>
  <c r="D53" i="59"/>
  <c r="L49" i="59"/>
  <c r="N49" i="59" s="1"/>
  <c r="V94" i="51"/>
  <c r="V84" i="51"/>
  <c r="V80" i="51"/>
  <c r="V72" i="51"/>
  <c r="V56" i="51"/>
  <c r="V40" i="51"/>
  <c r="V89" i="51"/>
  <c r="V75" i="51"/>
  <c r="V71" i="51"/>
  <c r="V55" i="51"/>
  <c r="V39" i="51"/>
  <c r="V74" i="51"/>
  <c r="V66" i="51"/>
  <c r="V54" i="51"/>
  <c r="V50" i="51"/>
  <c r="V46" i="51"/>
  <c r="V38" i="51"/>
  <c r="V87" i="51"/>
  <c r="V77" i="51"/>
  <c r="V73" i="51"/>
  <c r="V65" i="51"/>
  <c r="V53" i="51"/>
  <c r="V45" i="51"/>
  <c r="V37" i="51"/>
  <c r="V83" i="51"/>
  <c r="V79" i="51"/>
  <c r="V67" i="51"/>
  <c r="V63" i="51"/>
  <c r="V59" i="51"/>
  <c r="V51" i="51"/>
  <c r="V43" i="51"/>
  <c r="V35" i="51"/>
  <c r="V88" i="51"/>
  <c r="V82" i="51"/>
  <c r="V78" i="51"/>
  <c r="V70" i="51"/>
  <c r="V62" i="51"/>
  <c r="V58" i="51"/>
  <c r="V42" i="51"/>
  <c r="V34" i="51"/>
  <c r="V90" i="51"/>
  <c r="V69" i="51"/>
  <c r="V61" i="51"/>
  <c r="V57" i="51"/>
  <c r="V81" i="51"/>
  <c r="V68" i="51"/>
  <c r="V64" i="51"/>
  <c r="V60" i="51"/>
  <c r="V52" i="51"/>
  <c r="V41" i="51"/>
  <c r="V85" i="51"/>
  <c r="T48" i="51"/>
  <c r="V48" i="51" s="1"/>
  <c r="V44" i="51"/>
  <c r="V36" i="51"/>
  <c r="V76" i="51"/>
  <c r="T27" i="37"/>
  <c r="X27" i="37" s="1"/>
  <c r="Z18" i="37"/>
  <c r="X18" i="37"/>
  <c r="D36" i="19"/>
  <c r="D78" i="94"/>
  <c r="L21" i="94"/>
  <c r="N21" i="94" s="1"/>
  <c r="X20" i="95"/>
  <c r="H24" i="95"/>
  <c r="N16" i="95"/>
  <c r="P58" i="96"/>
  <c r="X17" i="96"/>
  <c r="Z17" i="96" s="1"/>
  <c r="R17" i="96"/>
  <c r="H78" i="94"/>
  <c r="V70" i="91"/>
  <c r="V66" i="91"/>
  <c r="V54" i="91"/>
  <c r="V46" i="91"/>
  <c r="V38" i="91"/>
  <c r="V64" i="91"/>
  <c r="V60" i="91"/>
  <c r="V56" i="91"/>
  <c r="V73" i="91"/>
  <c r="V63" i="91"/>
  <c r="V59" i="91"/>
  <c r="V55" i="91"/>
  <c r="V47" i="91"/>
  <c r="V39" i="91"/>
  <c r="V35" i="91"/>
  <c r="V31" i="91"/>
  <c r="V62" i="91"/>
  <c r="V58" i="91"/>
  <c r="V50" i="91"/>
  <c r="V42" i="91"/>
  <c r="V34" i="91"/>
  <c r="V30" i="91"/>
  <c r="V69" i="91"/>
  <c r="V77" i="91"/>
  <c r="V71" i="91"/>
  <c r="V67" i="91"/>
  <c r="V51" i="91"/>
  <c r="V43" i="91"/>
  <c r="V52" i="91"/>
  <c r="V33" i="91"/>
  <c r="V32" i="91"/>
  <c r="Z12" i="91"/>
  <c r="V23" i="91"/>
  <c r="V19" i="91"/>
  <c r="V18" i="91"/>
  <c r="V49" i="91"/>
  <c r="V45" i="91"/>
  <c r="V41" i="91"/>
  <c r="V29" i="91"/>
  <c r="V28" i="91"/>
  <c r="V27" i="91"/>
  <c r="V26" i="91"/>
  <c r="V17" i="91"/>
  <c r="V68" i="91"/>
  <c r="V61" i="91"/>
  <c r="V57" i="91"/>
  <c r="V37" i="91"/>
  <c r="V36" i="91"/>
  <c r="V25" i="91"/>
  <c r="V24" i="91"/>
  <c r="T21" i="91"/>
  <c r="V53" i="91"/>
  <c r="V65" i="91"/>
  <c r="V48" i="91"/>
  <c r="V44" i="91"/>
  <c r="V40" i="91"/>
  <c r="D78" i="93"/>
  <c r="L21" i="93"/>
  <c r="N21" i="93" s="1"/>
  <c r="L16" i="92"/>
  <c r="J21" i="91"/>
  <c r="P62" i="86"/>
  <c r="X17" i="86"/>
  <c r="R65" i="85"/>
  <c r="R62" i="85"/>
  <c r="R54" i="85"/>
  <c r="R49" i="85"/>
  <c r="R46" i="85"/>
  <c r="R33" i="85"/>
  <c r="R29" i="85"/>
  <c r="R20" i="85"/>
  <c r="R73" i="85"/>
  <c r="R57" i="85"/>
  <c r="R40" i="85"/>
  <c r="R37" i="85"/>
  <c r="R81" i="85"/>
  <c r="R64" i="85"/>
  <c r="R51" i="85"/>
  <c r="R48" i="85"/>
  <c r="R32" i="85"/>
  <c r="R70" i="85"/>
  <c r="R42" i="85"/>
  <c r="R39" i="85"/>
  <c r="R26" i="85"/>
  <c r="R18" i="85"/>
  <c r="R76" i="85"/>
  <c r="R69" i="85"/>
  <c r="R61" i="85"/>
  <c r="R53" i="85"/>
  <c r="R50" i="85"/>
  <c r="R45" i="85"/>
  <c r="R25" i="85"/>
  <c r="R22" i="85"/>
  <c r="R17" i="85"/>
  <c r="R72" i="85"/>
  <c r="R68" i="85"/>
  <c r="R60" i="85"/>
  <c r="R56" i="85"/>
  <c r="R44" i="85"/>
  <c r="R41" i="85"/>
  <c r="R36" i="85"/>
  <c r="R58" i="85"/>
  <c r="X12" i="85"/>
  <c r="Z12" i="85" s="1"/>
  <c r="R66" i="85"/>
  <c r="P20" i="85"/>
  <c r="R74" i="85"/>
  <c r="R59" i="85"/>
  <c r="R55" i="85"/>
  <c r="R34" i="85"/>
  <c r="R28" i="85"/>
  <c r="R27" i="85"/>
  <c r="R71" i="85"/>
  <c r="R67" i="85"/>
  <c r="R63" i="85"/>
  <c r="R52" i="85"/>
  <c r="R38" i="85"/>
  <c r="R43" i="85"/>
  <c r="R35" i="85"/>
  <c r="R16" i="85"/>
  <c r="R23" i="85"/>
  <c r="R47" i="85"/>
  <c r="R77" i="85"/>
  <c r="R30" i="85"/>
  <c r="R24" i="85"/>
  <c r="R31" i="85"/>
  <c r="X20" i="79"/>
  <c r="P72" i="79"/>
  <c r="R20" i="79"/>
  <c r="X16" i="80"/>
  <c r="P32" i="80"/>
  <c r="D32" i="80"/>
  <c r="L16" i="80"/>
  <c r="L12" i="76"/>
  <c r="H30" i="88"/>
  <c r="N16" i="88"/>
  <c r="Z87" i="71"/>
  <c r="H61" i="73"/>
  <c r="J19" i="73"/>
  <c r="V19" i="73"/>
  <c r="H42" i="74"/>
  <c r="N17" i="74"/>
  <c r="F87" i="71"/>
  <c r="F82" i="71"/>
  <c r="F73" i="71"/>
  <c r="F70" i="71"/>
  <c r="F62" i="71"/>
  <c r="F58" i="71"/>
  <c r="F42" i="71"/>
  <c r="F90" i="71"/>
  <c r="F85" i="71"/>
  <c r="F81" i="71"/>
  <c r="F76" i="71"/>
  <c r="F57" i="71"/>
  <c r="F41" i="71"/>
  <c r="F94" i="71"/>
  <c r="F72" i="71"/>
  <c r="F67" i="71"/>
  <c r="F56" i="71"/>
  <c r="F51" i="71"/>
  <c r="F40" i="71"/>
  <c r="F74" i="71"/>
  <c r="F69" i="71"/>
  <c r="F66" i="71"/>
  <c r="F61" i="71"/>
  <c r="F54" i="71"/>
  <c r="D48" i="71"/>
  <c r="F46" i="71"/>
  <c r="F38" i="71"/>
  <c r="F84" i="71"/>
  <c r="F80" i="71"/>
  <c r="F77" i="71"/>
  <c r="F65" i="71"/>
  <c r="F53" i="71"/>
  <c r="F45" i="71"/>
  <c r="F37" i="71"/>
  <c r="F79" i="71"/>
  <c r="F48" i="71"/>
  <c r="F71" i="71"/>
  <c r="F50" i="71"/>
  <c r="F34" i="71"/>
  <c r="F89" i="71"/>
  <c r="F88" i="71"/>
  <c r="F59" i="71"/>
  <c r="F39" i="71"/>
  <c r="F60" i="71"/>
  <c r="F43" i="71"/>
  <c r="F64" i="71"/>
  <c r="F44" i="71"/>
  <c r="F68" i="71"/>
  <c r="F83" i="71"/>
  <c r="F75" i="71"/>
  <c r="F52" i="71"/>
  <c r="F35" i="71"/>
  <c r="F55" i="71"/>
  <c r="L12" i="71"/>
  <c r="F36" i="71"/>
  <c r="F63" i="71"/>
  <c r="F78" i="71"/>
  <c r="X20" i="78"/>
  <c r="Z20" i="78" s="1"/>
  <c r="V119" i="69"/>
  <c r="V115" i="69"/>
  <c r="V99" i="69"/>
  <c r="V95" i="69"/>
  <c r="V87" i="69"/>
  <c r="V83" i="69"/>
  <c r="V67" i="69"/>
  <c r="V59" i="69"/>
  <c r="V123" i="69"/>
  <c r="V118" i="69"/>
  <c r="V114" i="69"/>
  <c r="V102" i="69"/>
  <c r="V98" i="69"/>
  <c r="V82" i="69"/>
  <c r="V66" i="69"/>
  <c r="V58" i="69"/>
  <c r="V129" i="69"/>
  <c r="V125" i="69"/>
  <c r="V105" i="69"/>
  <c r="V101" i="69"/>
  <c r="V81" i="69"/>
  <c r="V77" i="69"/>
  <c r="V73" i="69"/>
  <c r="V65" i="69"/>
  <c r="V57" i="69"/>
  <c r="V121" i="69"/>
  <c r="V120" i="69"/>
  <c r="V124" i="69"/>
  <c r="V110" i="69"/>
  <c r="V106" i="69"/>
  <c r="V94" i="69"/>
  <c r="V90" i="69"/>
  <c r="V86" i="69"/>
  <c r="V78" i="69"/>
  <c r="V70" i="69"/>
  <c r="V62" i="69"/>
  <c r="V54" i="69"/>
  <c r="V113" i="69"/>
  <c r="V69" i="69"/>
  <c r="V53" i="69"/>
  <c r="Z12" i="69"/>
  <c r="V108" i="69"/>
  <c r="V107" i="69"/>
  <c r="V79" i="69"/>
  <c r="V61" i="69"/>
  <c r="V111" i="69"/>
  <c r="V93" i="69"/>
  <c r="V91" i="69"/>
  <c r="V84" i="69"/>
  <c r="V116" i="69"/>
  <c r="V100" i="69"/>
  <c r="V85" i="69"/>
  <c r="V80" i="69"/>
  <c r="V117" i="69"/>
  <c r="V109" i="69"/>
  <c r="V103" i="69"/>
  <c r="V88" i="69"/>
  <c r="V72" i="69"/>
  <c r="V63" i="69"/>
  <c r="V55" i="69"/>
  <c r="V89" i="69"/>
  <c r="V75" i="69"/>
  <c r="V68" i="69"/>
  <c r="V104" i="69"/>
  <c r="T75" i="69"/>
  <c r="V97" i="69"/>
  <c r="V112" i="69"/>
  <c r="V71" i="69"/>
  <c r="V64" i="69"/>
  <c r="V60" i="69"/>
  <c r="V92" i="69"/>
  <c r="V56" i="69"/>
  <c r="V96" i="69"/>
  <c r="P91" i="62"/>
  <c r="X16" i="62"/>
  <c r="P44" i="61"/>
  <c r="X16" i="61"/>
  <c r="T27" i="52"/>
  <c r="Z18" i="52"/>
  <c r="D98" i="62"/>
  <c r="L98" i="62" s="1"/>
  <c r="L95" i="62"/>
  <c r="N95" i="62" s="1"/>
  <c r="H63" i="57"/>
  <c r="L30" i="55"/>
  <c r="D34" i="55"/>
  <c r="V43" i="48"/>
  <c r="V35" i="48"/>
  <c r="V23" i="48"/>
  <c r="V19" i="48"/>
  <c r="V15" i="48"/>
  <c r="V60" i="48"/>
  <c r="V46" i="48"/>
  <c r="V34" i="48"/>
  <c r="V22" i="48"/>
  <c r="V55" i="48"/>
  <c r="V49" i="48"/>
  <c r="V45" i="48"/>
  <c r="V37" i="48"/>
  <c r="V33" i="48"/>
  <c r="V21" i="48"/>
  <c r="V48" i="48"/>
  <c r="V36" i="48"/>
  <c r="V32" i="48"/>
  <c r="V28" i="48"/>
  <c r="V20" i="48"/>
  <c r="Z12" i="48"/>
  <c r="V56" i="48"/>
  <c r="V50" i="48"/>
  <c r="V42" i="48"/>
  <c r="V38" i="48"/>
  <c r="V30" i="48"/>
  <c r="V26" i="48"/>
  <c r="T17" i="48"/>
  <c r="X17" i="48" s="1"/>
  <c r="V53" i="48"/>
  <c r="V41" i="48"/>
  <c r="V29" i="48"/>
  <c r="V25" i="48"/>
  <c r="V31" i="48"/>
  <c r="V17" i="48"/>
  <c r="V52" i="48"/>
  <c r="V47" i="48"/>
  <c r="V51" i="48"/>
  <c r="V24" i="48"/>
  <c r="V40" i="48"/>
  <c r="V39" i="48"/>
  <c r="V27" i="48"/>
  <c r="V44" i="48"/>
  <c r="P27" i="46"/>
  <c r="X18" i="46"/>
  <c r="P47" i="60"/>
  <c r="X43" i="60"/>
  <c r="D31" i="54"/>
  <c r="H27" i="44"/>
  <c r="N18" i="44"/>
  <c r="N18" i="38"/>
  <c r="H27" i="38"/>
  <c r="L18" i="38"/>
  <c r="D27" i="38"/>
  <c r="X16" i="58"/>
  <c r="T27" i="43"/>
  <c r="Z18" i="43"/>
  <c r="R89" i="42"/>
  <c r="R86" i="42"/>
  <c r="R83" i="42"/>
  <c r="R74" i="42"/>
  <c r="R71" i="42"/>
  <c r="R46" i="42"/>
  <c r="R43" i="42"/>
  <c r="R38" i="42"/>
  <c r="R26" i="42"/>
  <c r="R23" i="42"/>
  <c r="R18" i="42"/>
  <c r="R95" i="42"/>
  <c r="R66" i="42"/>
  <c r="R62" i="42"/>
  <c r="R57" i="42"/>
  <c r="R54" i="42"/>
  <c r="R49" i="42"/>
  <c r="R37" i="42"/>
  <c r="R25" i="42"/>
  <c r="R85" i="42"/>
  <c r="R80" i="42"/>
  <c r="R73" i="42"/>
  <c r="R45" i="42"/>
  <c r="R40" i="42"/>
  <c r="R36" i="42"/>
  <c r="R32" i="42"/>
  <c r="R17" i="42"/>
  <c r="R90" i="42"/>
  <c r="R79" i="42"/>
  <c r="R59" i="42"/>
  <c r="R56" i="42"/>
  <c r="R51" i="42"/>
  <c r="R48" i="42"/>
  <c r="R35" i="42"/>
  <c r="R31" i="42"/>
  <c r="R24" i="42"/>
  <c r="R82" i="42"/>
  <c r="R78" i="42"/>
  <c r="R70" i="42"/>
  <c r="R42" i="42"/>
  <c r="R39" i="42"/>
  <c r="R34" i="42"/>
  <c r="R30" i="42"/>
  <c r="R21" i="42"/>
  <c r="R88" i="42"/>
  <c r="R77" i="42"/>
  <c r="R69" i="42"/>
  <c r="R65" i="42"/>
  <c r="R61" i="42"/>
  <c r="R58" i="42"/>
  <c r="R53" i="42"/>
  <c r="R50" i="42"/>
  <c r="R29" i="42"/>
  <c r="P21" i="42"/>
  <c r="R84" i="42"/>
  <c r="R33" i="42"/>
  <c r="R19" i="42"/>
  <c r="R81" i="42"/>
  <c r="R27" i="42"/>
  <c r="R91" i="42"/>
  <c r="R55" i="42"/>
  <c r="R52" i="42"/>
  <c r="R47" i="42"/>
  <c r="X12" i="42"/>
  <c r="Z12" i="42" s="1"/>
  <c r="R67" i="42"/>
  <c r="R63" i="42"/>
  <c r="R28" i="42"/>
  <c r="R64" i="42"/>
  <c r="R60" i="42"/>
  <c r="R44" i="42"/>
  <c r="R41" i="42"/>
  <c r="R75" i="42"/>
  <c r="R68" i="42"/>
  <c r="R72" i="42"/>
  <c r="R76" i="42"/>
  <c r="P31" i="37"/>
  <c r="X18" i="38"/>
  <c r="H27" i="31"/>
  <c r="N18" i="31"/>
  <c r="N100" i="36"/>
  <c r="L27" i="34"/>
  <c r="T31" i="32"/>
  <c r="Z27" i="32"/>
  <c r="V70" i="33"/>
  <c r="V62" i="33"/>
  <c r="V50" i="33"/>
  <c r="V34" i="33"/>
  <c r="V26" i="33"/>
  <c r="V69" i="33"/>
  <c r="V61" i="33"/>
  <c r="V53" i="33"/>
  <c r="V49" i="33"/>
  <c r="V33" i="33"/>
  <c r="V25" i="33"/>
  <c r="V74" i="33"/>
  <c r="V52" i="33"/>
  <c r="V44" i="33"/>
  <c r="V40" i="33"/>
  <c r="V32" i="33"/>
  <c r="V72" i="33"/>
  <c r="V66" i="33"/>
  <c r="V58" i="33"/>
  <c r="V54" i="33"/>
  <c r="V46" i="33"/>
  <c r="V42" i="33"/>
  <c r="V38" i="33"/>
  <c r="T29" i="33"/>
  <c r="V65" i="33"/>
  <c r="V57" i="33"/>
  <c r="V45" i="33"/>
  <c r="V41" i="33"/>
  <c r="V37" i="33"/>
  <c r="V78" i="33"/>
  <c r="V68" i="33"/>
  <c r="V64" i="33"/>
  <c r="V60" i="33"/>
  <c r="V56" i="33"/>
  <c r="V48" i="33"/>
  <c r="V43" i="33"/>
  <c r="V39" i="33"/>
  <c r="V63" i="33"/>
  <c r="V59" i="33"/>
  <c r="V51" i="33"/>
  <c r="V27" i="33"/>
  <c r="V67" i="33"/>
  <c r="V73" i="33"/>
  <c r="V55" i="33"/>
  <c r="V29" i="33"/>
  <c r="V31" i="33"/>
  <c r="V35" i="33"/>
  <c r="V36" i="33"/>
  <c r="V47" i="33"/>
  <c r="L18" i="20"/>
  <c r="D27" i="20"/>
  <c r="F102" i="27"/>
  <c r="F97" i="27"/>
  <c r="F69" i="27"/>
  <c r="F57" i="27"/>
  <c r="F49" i="27"/>
  <c r="F41" i="27"/>
  <c r="F36" i="27"/>
  <c r="F105" i="27"/>
  <c r="F100" i="27"/>
  <c r="F91" i="27"/>
  <c r="F87" i="27"/>
  <c r="F84" i="27"/>
  <c r="F79" i="27"/>
  <c r="F76" i="27"/>
  <c r="F68" i="27"/>
  <c r="F64" i="27"/>
  <c r="F56" i="27"/>
  <c r="F48" i="27"/>
  <c r="F40" i="27"/>
  <c r="F109" i="27"/>
  <c r="F67" i="27"/>
  <c r="F63" i="27"/>
  <c r="F54" i="27"/>
  <c r="F47" i="27"/>
  <c r="F39" i="27"/>
  <c r="F103" i="27"/>
  <c r="F93" i="27"/>
  <c r="F90" i="27"/>
  <c r="F86" i="27"/>
  <c r="F81" i="27"/>
  <c r="F78" i="27"/>
  <c r="F73" i="27"/>
  <c r="F66" i="27"/>
  <c r="F62" i="27"/>
  <c r="F46" i="27"/>
  <c r="F38" i="27"/>
  <c r="F96" i="27"/>
  <c r="F89" i="27"/>
  <c r="F61" i="27"/>
  <c r="F45" i="27"/>
  <c r="F37" i="27"/>
  <c r="F99" i="27"/>
  <c r="F92" i="27"/>
  <c r="F88" i="27"/>
  <c r="F83" i="27"/>
  <c r="F80" i="27"/>
  <c r="F75" i="27"/>
  <c r="F72" i="27"/>
  <c r="F60" i="27"/>
  <c r="F55" i="27"/>
  <c r="F44" i="27"/>
  <c r="L12" i="27"/>
  <c r="F94" i="27"/>
  <c r="F74" i="27"/>
  <c r="F70" i="27"/>
  <c r="F43" i="27"/>
  <c r="F85" i="27"/>
  <c r="F71" i="27"/>
  <c r="F98" i="27"/>
  <c r="F95" i="27"/>
  <c r="F58" i="27"/>
  <c r="F50" i="27"/>
  <c r="F82" i="27"/>
  <c r="F65" i="27"/>
  <c r="F59" i="27"/>
  <c r="F52" i="27"/>
  <c r="F77" i="27"/>
  <c r="D52" i="27"/>
  <c r="F42" i="27"/>
  <c r="F104" i="27"/>
  <c r="T27" i="23"/>
  <c r="Z18" i="23"/>
  <c r="Z27" i="28"/>
  <c r="T31" i="28"/>
  <c r="L18" i="31"/>
  <c r="D27" i="31"/>
  <c r="L18" i="28"/>
  <c r="D31" i="25"/>
  <c r="X12" i="18"/>
  <c r="Z12" i="18" s="1"/>
  <c r="R134" i="18"/>
  <c r="P31" i="14"/>
  <c r="F217" i="18"/>
  <c r="F213" i="18"/>
  <c r="F210" i="18"/>
  <c r="F206" i="18"/>
  <c r="F201" i="18"/>
  <c r="F193" i="18"/>
  <c r="F189" i="18"/>
  <c r="F178" i="18"/>
  <c r="F166" i="18"/>
  <c r="F154" i="18"/>
  <c r="F142" i="18"/>
  <c r="F137" i="18"/>
  <c r="F126" i="18"/>
  <c r="F118" i="18"/>
  <c r="F110" i="18"/>
  <c r="F102" i="18"/>
  <c r="F94" i="18"/>
  <c r="F222" i="18"/>
  <c r="F209" i="18"/>
  <c r="F205" i="18"/>
  <c r="F197" i="18"/>
  <c r="F184" i="18"/>
  <c r="F181" i="18"/>
  <c r="F172" i="18"/>
  <c r="F169" i="18"/>
  <c r="F160" i="18"/>
  <c r="F157" i="18"/>
  <c r="F153" i="18"/>
  <c r="F148" i="18"/>
  <c r="F141" i="18"/>
  <c r="F134" i="18"/>
  <c r="F125" i="18"/>
  <c r="F117" i="18"/>
  <c r="F109" i="18"/>
  <c r="F101" i="18"/>
  <c r="F93" i="18"/>
  <c r="F220" i="18"/>
  <c r="F215" i="18"/>
  <c r="F223" i="18"/>
  <c r="F218" i="18"/>
  <c r="F214" i="18"/>
  <c r="F202" i="18"/>
  <c r="F194" i="18"/>
  <c r="F190" i="18"/>
  <c r="F186" i="18"/>
  <c r="F177" i="18"/>
  <c r="F174" i="18"/>
  <c r="F165" i="18"/>
  <c r="F150" i="18"/>
  <c r="F146" i="18"/>
  <c r="F138" i="18"/>
  <c r="F130" i="18"/>
  <c r="F122" i="18"/>
  <c r="F114" i="18"/>
  <c r="F106" i="18"/>
  <c r="F98" i="18"/>
  <c r="F226" i="18"/>
  <c r="F208" i="18"/>
  <c r="F185" i="18"/>
  <c r="F173" i="18"/>
  <c r="F168" i="18"/>
  <c r="F161" i="18"/>
  <c r="F156" i="18"/>
  <c r="F149" i="18"/>
  <c r="F145" i="18"/>
  <c r="F136" i="18"/>
  <c r="F129" i="18"/>
  <c r="F121" i="18"/>
  <c r="F113" i="18"/>
  <c r="F105" i="18"/>
  <c r="F97" i="18"/>
  <c r="F163" i="18"/>
  <c r="F162" i="18"/>
  <c r="F152" i="18"/>
  <c r="F140" i="18"/>
  <c r="F139" i="18"/>
  <c r="F123" i="18"/>
  <c r="F107" i="18"/>
  <c r="F230" i="18"/>
  <c r="F212" i="18"/>
  <c r="F211" i="18"/>
  <c r="F199" i="18"/>
  <c r="F198" i="18"/>
  <c r="F176" i="18"/>
  <c r="F175" i="18"/>
  <c r="F164" i="18"/>
  <c r="F151" i="18"/>
  <c r="F120" i="18"/>
  <c r="F96" i="18"/>
  <c r="F200" i="18"/>
  <c r="F119" i="18"/>
  <c r="F95" i="18"/>
  <c r="F225" i="18"/>
  <c r="F224" i="18"/>
  <c r="F221" i="18"/>
  <c r="F207" i="18"/>
  <c r="F192" i="18"/>
  <c r="F171" i="18"/>
  <c r="F170" i="18"/>
  <c r="F167" i="18"/>
  <c r="F131" i="18"/>
  <c r="F115" i="18"/>
  <c r="F103" i="18"/>
  <c r="F91" i="18"/>
  <c r="F90" i="18"/>
  <c r="F216" i="18"/>
  <c r="F204" i="18"/>
  <c r="F203" i="18"/>
  <c r="F191" i="18"/>
  <c r="F147" i="18"/>
  <c r="D134" i="18"/>
  <c r="F128" i="18"/>
  <c r="F112" i="18"/>
  <c r="F100" i="18"/>
  <c r="F196" i="18"/>
  <c r="F183" i="18"/>
  <c r="F182" i="18"/>
  <c r="F144" i="18"/>
  <c r="F127" i="18"/>
  <c r="F111" i="18"/>
  <c r="F99" i="18"/>
  <c r="F195" i="18"/>
  <c r="F159" i="18"/>
  <c r="F158" i="18"/>
  <c r="F155" i="18"/>
  <c r="F143" i="18"/>
  <c r="F124" i="18"/>
  <c r="F108" i="18"/>
  <c r="F116" i="18"/>
  <c r="F179" i="18"/>
  <c r="F104" i="18"/>
  <c r="L12" i="18"/>
  <c r="F187" i="18"/>
  <c r="F92" i="18"/>
  <c r="F132" i="18"/>
  <c r="F180" i="18"/>
  <c r="F188" i="18"/>
  <c r="P27" i="20"/>
  <c r="X18" i="20"/>
  <c r="J187" i="15"/>
  <c r="J183" i="15"/>
  <c r="J175" i="15"/>
  <c r="J159" i="15"/>
  <c r="J153" i="15"/>
  <c r="J147" i="15"/>
  <c r="J198" i="15"/>
  <c r="J194" i="15"/>
  <c r="J190" i="15"/>
  <c r="J182" i="15"/>
  <c r="J178" i="15"/>
  <c r="J174" i="15"/>
  <c r="J170" i="15"/>
  <c r="J166" i="15"/>
  <c r="J158" i="15"/>
  <c r="J201" i="15"/>
  <c r="J193" i="15"/>
  <c r="J181" i="15"/>
  <c r="J177" i="15"/>
  <c r="J173" i="15"/>
  <c r="J169" i="15"/>
  <c r="J165" i="15"/>
  <c r="J161" i="15"/>
  <c r="J155" i="15"/>
  <c r="J149" i="15"/>
  <c r="J143" i="15"/>
  <c r="J199" i="15"/>
  <c r="J189" i="15"/>
  <c r="J163" i="15"/>
  <c r="J157" i="15"/>
  <c r="J151" i="15"/>
  <c r="J139" i="15"/>
  <c r="J202" i="15"/>
  <c r="J176" i="15"/>
  <c r="J160" i="15"/>
  <c r="J195" i="15"/>
  <c r="J191" i="15"/>
  <c r="J185" i="15"/>
  <c r="J179" i="15"/>
  <c r="J171" i="15"/>
  <c r="J206" i="15"/>
  <c r="J200" i="15"/>
  <c r="J188" i="15"/>
  <c r="J184" i="15"/>
  <c r="J162" i="15"/>
  <c r="J156" i="15"/>
  <c r="J150" i="15"/>
  <c r="J144" i="15"/>
  <c r="J138" i="15"/>
  <c r="J172" i="15"/>
  <c r="J135" i="15"/>
  <c r="J130" i="15"/>
  <c r="J118" i="15"/>
  <c r="J110" i="15"/>
  <c r="J102" i="15"/>
  <c r="J94" i="15"/>
  <c r="J86" i="15"/>
  <c r="J78" i="15"/>
  <c r="J192" i="15"/>
  <c r="J186" i="15"/>
  <c r="J152" i="15"/>
  <c r="J146" i="15"/>
  <c r="J129" i="15"/>
  <c r="J125" i="15"/>
  <c r="J117" i="15"/>
  <c r="J109" i="15"/>
  <c r="J101" i="15"/>
  <c r="J93" i="15"/>
  <c r="J85" i="15"/>
  <c r="J77" i="15"/>
  <c r="J148" i="15"/>
  <c r="J134" i="15"/>
  <c r="J128" i="15"/>
  <c r="J124" i="15"/>
  <c r="J116" i="15"/>
  <c r="J114" i="15"/>
  <c r="J108" i="15"/>
  <c r="J100" i="15"/>
  <c r="J92" i="15"/>
  <c r="J84" i="15"/>
  <c r="J145" i="15"/>
  <c r="J127" i="15"/>
  <c r="J123" i="15"/>
  <c r="J107" i="15"/>
  <c r="J99" i="15"/>
  <c r="J91" i="15"/>
  <c r="J83" i="15"/>
  <c r="J196" i="15"/>
  <c r="J167" i="15"/>
  <c r="J154" i="15"/>
  <c r="J140" i="15"/>
  <c r="J122" i="15"/>
  <c r="J106" i="15"/>
  <c r="J98" i="15"/>
  <c r="J90" i="15"/>
  <c r="J82" i="15"/>
  <c r="J76" i="15"/>
  <c r="J141" i="15"/>
  <c r="J133" i="15"/>
  <c r="J121" i="15"/>
  <c r="J115" i="15"/>
  <c r="J105" i="15"/>
  <c r="J97" i="15"/>
  <c r="J89" i="15"/>
  <c r="J81" i="15"/>
  <c r="J168" i="15"/>
  <c r="J164" i="15"/>
  <c r="J137" i="15"/>
  <c r="J132" i="15"/>
  <c r="J126" i="15"/>
  <c r="J120" i="15"/>
  <c r="J112" i="15"/>
  <c r="J104" i="15"/>
  <c r="J96" i="15"/>
  <c r="J88" i="15"/>
  <c r="J80" i="15"/>
  <c r="J136" i="15"/>
  <c r="H112" i="15"/>
  <c r="J103" i="15"/>
  <c r="J95" i="15"/>
  <c r="J79" i="15"/>
  <c r="J142" i="15"/>
  <c r="J87" i="15"/>
  <c r="J180" i="15"/>
  <c r="J119" i="15"/>
  <c r="J131" i="15"/>
  <c r="X18" i="13"/>
  <c r="P27" i="13"/>
  <c r="T27" i="4"/>
  <c r="Z18" i="4"/>
  <c r="D213" i="12"/>
  <c r="L117" i="12"/>
  <c r="D31" i="7"/>
  <c r="D58" i="96"/>
  <c r="L17" i="96"/>
  <c r="N17" i="96" s="1"/>
  <c r="Z16" i="90"/>
  <c r="T44" i="90"/>
  <c r="T79" i="85"/>
  <c r="V20" i="85"/>
  <c r="T27" i="53"/>
  <c r="Z18" i="53"/>
  <c r="T27" i="31"/>
  <c r="Z18" i="31"/>
  <c r="P80" i="21"/>
  <c r="P31" i="99"/>
  <c r="F17" i="96"/>
  <c r="X16" i="95"/>
  <c r="P24" i="95"/>
  <c r="L55" i="96"/>
  <c r="F55" i="96"/>
  <c r="D31" i="98"/>
  <c r="X12" i="93"/>
  <c r="Z12" i="93" s="1"/>
  <c r="D30" i="88"/>
  <c r="L16" i="88"/>
  <c r="R21" i="91"/>
  <c r="H32" i="87"/>
  <c r="N16" i="87"/>
  <c r="H44" i="90"/>
  <c r="N16" i="90"/>
  <c r="D39" i="87"/>
  <c r="X16" i="83"/>
  <c r="V76" i="85"/>
  <c r="P38" i="84"/>
  <c r="X66" i="81"/>
  <c r="Z66" i="81" s="1"/>
  <c r="R89" i="71"/>
  <c r="R74" i="71"/>
  <c r="R71" i="71"/>
  <c r="R66" i="71"/>
  <c r="R54" i="71"/>
  <c r="R46" i="71"/>
  <c r="R38" i="71"/>
  <c r="R77" i="71"/>
  <c r="R65" i="71"/>
  <c r="R53" i="71"/>
  <c r="R50" i="71"/>
  <c r="R45" i="71"/>
  <c r="R37" i="71"/>
  <c r="R87" i="71"/>
  <c r="R73" i="71"/>
  <c r="R68" i="71"/>
  <c r="R64" i="71"/>
  <c r="R60" i="71"/>
  <c r="R52" i="71"/>
  <c r="R44" i="71"/>
  <c r="R36" i="71"/>
  <c r="X12" i="71"/>
  <c r="R82" i="71"/>
  <c r="R70" i="71"/>
  <c r="R67" i="71"/>
  <c r="R62" i="71"/>
  <c r="R58" i="71"/>
  <c r="R51" i="71"/>
  <c r="R42" i="71"/>
  <c r="R88" i="71"/>
  <c r="R85" i="71"/>
  <c r="R81" i="71"/>
  <c r="R78" i="71"/>
  <c r="R57" i="71"/>
  <c r="R48" i="71"/>
  <c r="R41" i="71"/>
  <c r="R34" i="71"/>
  <c r="R72" i="71"/>
  <c r="R63" i="71"/>
  <c r="R35" i="71"/>
  <c r="R90" i="71"/>
  <c r="R76" i="71"/>
  <c r="R55" i="71"/>
  <c r="R59" i="71"/>
  <c r="R39" i="71"/>
  <c r="R84" i="71"/>
  <c r="R83" i="71"/>
  <c r="R69" i="71"/>
  <c r="R56" i="71"/>
  <c r="R43" i="71"/>
  <c r="R75" i="71"/>
  <c r="P48" i="71"/>
  <c r="R94" i="71"/>
  <c r="R40" i="71"/>
  <c r="R79" i="71"/>
  <c r="R80" i="71"/>
  <c r="R61" i="71"/>
  <c r="F121" i="69"/>
  <c r="F123" i="69"/>
  <c r="F108" i="69"/>
  <c r="F104" i="69"/>
  <c r="F95" i="69"/>
  <c r="F92" i="69"/>
  <c r="F87" i="69"/>
  <c r="F80" i="69"/>
  <c r="F72" i="69"/>
  <c r="F64" i="69"/>
  <c r="F56" i="69"/>
  <c r="F125" i="69"/>
  <c r="F118" i="69"/>
  <c r="F114" i="69"/>
  <c r="F111" i="69"/>
  <c r="F107" i="69"/>
  <c r="F98" i="69"/>
  <c r="F91" i="69"/>
  <c r="F79" i="69"/>
  <c r="F71" i="69"/>
  <c r="F63" i="69"/>
  <c r="F55" i="69"/>
  <c r="F110" i="69"/>
  <c r="F94" i="69"/>
  <c r="F90" i="69"/>
  <c r="F86" i="69"/>
  <c r="F77" i="69"/>
  <c r="F70" i="69"/>
  <c r="F62" i="69"/>
  <c r="F54" i="69"/>
  <c r="F120" i="69"/>
  <c r="F117" i="69"/>
  <c r="F119" i="69"/>
  <c r="F115" i="69"/>
  <c r="F106" i="69"/>
  <c r="F99" i="69"/>
  <c r="F83" i="69"/>
  <c r="F78" i="69"/>
  <c r="F67" i="69"/>
  <c r="F59" i="69"/>
  <c r="F100" i="69"/>
  <c r="F97" i="69"/>
  <c r="F96" i="69"/>
  <c r="F93" i="69"/>
  <c r="F88" i="69"/>
  <c r="F82" i="69"/>
  <c r="F81" i="69"/>
  <c r="F124" i="69"/>
  <c r="F102" i="69"/>
  <c r="F101" i="69"/>
  <c r="F73" i="69"/>
  <c r="F68" i="69"/>
  <c r="F103" i="69"/>
  <c r="F89" i="69"/>
  <c r="F75" i="69"/>
  <c r="F60" i="69"/>
  <c r="L12" i="69"/>
  <c r="N12" i="69" s="1"/>
  <c r="D75" i="69"/>
  <c r="F69" i="69"/>
  <c r="F129" i="69"/>
  <c r="F116" i="69"/>
  <c r="F112" i="69"/>
  <c r="F84" i="69"/>
  <c r="F66" i="69"/>
  <c r="F58" i="69"/>
  <c r="F53" i="69"/>
  <c r="F113" i="69"/>
  <c r="F65" i="69"/>
  <c r="F61" i="69"/>
  <c r="F85" i="69"/>
  <c r="F57" i="69"/>
  <c r="F105" i="69"/>
  <c r="F109" i="69"/>
  <c r="V87" i="71"/>
  <c r="V77" i="71"/>
  <c r="V73" i="71"/>
  <c r="V65" i="71"/>
  <c r="V53" i="71"/>
  <c r="V45" i="71"/>
  <c r="V37" i="71"/>
  <c r="V90" i="71"/>
  <c r="V76" i="71"/>
  <c r="V68" i="71"/>
  <c r="V64" i="71"/>
  <c r="V60" i="71"/>
  <c r="V52" i="71"/>
  <c r="V44" i="71"/>
  <c r="V36" i="71"/>
  <c r="Z12" i="71"/>
  <c r="V83" i="71"/>
  <c r="V79" i="71"/>
  <c r="V67" i="71"/>
  <c r="V63" i="71"/>
  <c r="V59" i="71"/>
  <c r="V51" i="71"/>
  <c r="V43" i="71"/>
  <c r="V35" i="71"/>
  <c r="V85" i="71"/>
  <c r="V81" i="71"/>
  <c r="V69" i="71"/>
  <c r="V61" i="71"/>
  <c r="V57" i="71"/>
  <c r="T48" i="71"/>
  <c r="V41" i="71"/>
  <c r="V94" i="71"/>
  <c r="V84" i="71"/>
  <c r="V80" i="71"/>
  <c r="V72" i="71"/>
  <c r="V56" i="71"/>
  <c r="V40" i="71"/>
  <c r="V89" i="71"/>
  <c r="V88" i="71"/>
  <c r="V62" i="71"/>
  <c r="V55" i="71"/>
  <c r="V38" i="71"/>
  <c r="V58" i="71"/>
  <c r="V39" i="71"/>
  <c r="V82" i="71"/>
  <c r="V78" i="71"/>
  <c r="V74" i="71"/>
  <c r="V46" i="71"/>
  <c r="V42" i="71"/>
  <c r="V75" i="71"/>
  <c r="V70" i="71"/>
  <c r="V48" i="71"/>
  <c r="V54" i="71"/>
  <c r="V66" i="71"/>
  <c r="V71" i="71"/>
  <c r="V50" i="71"/>
  <c r="V34" i="71"/>
  <c r="X123" i="69"/>
  <c r="Z123" i="69" s="1"/>
  <c r="J99" i="66"/>
  <c r="J89" i="66"/>
  <c r="J83" i="66"/>
  <c r="J75" i="66"/>
  <c r="J61" i="66"/>
  <c r="J55" i="66"/>
  <c r="J104" i="66"/>
  <c r="J92" i="66"/>
  <c r="J88" i="66"/>
  <c r="J80" i="66"/>
  <c r="J72" i="66"/>
  <c r="J60" i="66"/>
  <c r="J44" i="66"/>
  <c r="J95" i="66"/>
  <c r="J85" i="66"/>
  <c r="J77" i="66"/>
  <c r="J71" i="66"/>
  <c r="J65" i="66"/>
  <c r="J105" i="66"/>
  <c r="J97" i="66"/>
  <c r="J91" i="66"/>
  <c r="J87" i="66"/>
  <c r="J79" i="66"/>
  <c r="J69" i="66"/>
  <c r="J100" i="66"/>
  <c r="J96" i="66"/>
  <c r="J74" i="66"/>
  <c r="J64" i="66"/>
  <c r="J63" i="66"/>
  <c r="J62" i="66"/>
  <c r="J54" i="66"/>
  <c r="J36" i="66"/>
  <c r="J90" i="66"/>
  <c r="J76" i="66"/>
  <c r="J68" i="66"/>
  <c r="J67" i="66"/>
  <c r="J66" i="66"/>
  <c r="J86" i="66"/>
  <c r="H52" i="66"/>
  <c r="L52" i="66" s="1"/>
  <c r="J50" i="66"/>
  <c r="J49" i="66"/>
  <c r="J48" i="66"/>
  <c r="J109" i="66"/>
  <c r="J102" i="66"/>
  <c r="J47" i="66"/>
  <c r="J103" i="66"/>
  <c r="J93" i="66"/>
  <c r="J81" i="66"/>
  <c r="J78" i="66"/>
  <c r="J57" i="66"/>
  <c r="J56" i="66"/>
  <c r="J46" i="66"/>
  <c r="N12" i="66"/>
  <c r="J98" i="66"/>
  <c r="J82" i="66"/>
  <c r="J58" i="66"/>
  <c r="J45" i="66"/>
  <c r="J43" i="66"/>
  <c r="J42" i="66"/>
  <c r="J41" i="66"/>
  <c r="J40" i="66"/>
  <c r="J94" i="66"/>
  <c r="J70" i="66"/>
  <c r="J59" i="66"/>
  <c r="J39" i="66"/>
  <c r="J38" i="66"/>
  <c r="J73" i="66"/>
  <c r="J37" i="66"/>
  <c r="J84" i="66"/>
  <c r="P39" i="65"/>
  <c r="D32" i="65"/>
  <c r="L16" i="65"/>
  <c r="R49" i="64"/>
  <c r="R33" i="64"/>
  <c r="R26" i="64"/>
  <c r="R60" i="64"/>
  <c r="R57" i="64"/>
  <c r="R45" i="64"/>
  <c r="R41" i="64"/>
  <c r="R32" i="64"/>
  <c r="R74" i="64"/>
  <c r="R63" i="64"/>
  <c r="R51" i="64"/>
  <c r="R48" i="64"/>
  <c r="R31" i="64"/>
  <c r="R70" i="64"/>
  <c r="R66" i="64"/>
  <c r="R62" i="64"/>
  <c r="R59" i="64"/>
  <c r="R54" i="64"/>
  <c r="P38" i="64"/>
  <c r="R38" i="64" s="1"/>
  <c r="R30" i="64"/>
  <c r="R69" i="64"/>
  <c r="R65" i="64"/>
  <c r="R53" i="64"/>
  <c r="R50" i="64"/>
  <c r="R29" i="64"/>
  <c r="R78" i="64"/>
  <c r="R72" i="64"/>
  <c r="R68" i="64"/>
  <c r="R61" i="64"/>
  <c r="R56" i="64"/>
  <c r="R44" i="64"/>
  <c r="R36" i="64"/>
  <c r="R28" i="64"/>
  <c r="X12" i="64"/>
  <c r="Z12" i="64" s="1"/>
  <c r="R64" i="64"/>
  <c r="R52" i="64"/>
  <c r="R47" i="64"/>
  <c r="R43" i="64"/>
  <c r="R40" i="64"/>
  <c r="R35" i="64"/>
  <c r="R27" i="64"/>
  <c r="R34" i="64"/>
  <c r="R67" i="64"/>
  <c r="R46" i="64"/>
  <c r="R58" i="64"/>
  <c r="R55" i="64"/>
  <c r="R71" i="64"/>
  <c r="R42" i="64"/>
  <c r="L18" i="52"/>
  <c r="D27" i="52"/>
  <c r="N16" i="58"/>
  <c r="H62" i="58"/>
  <c r="H58" i="48"/>
  <c r="N17" i="48"/>
  <c r="N51" i="61"/>
  <c r="T27" i="44"/>
  <c r="Z18" i="44"/>
  <c r="T53" i="59"/>
  <c r="H93" i="42"/>
  <c r="X16" i="60"/>
  <c r="X12" i="51"/>
  <c r="Z12" i="51" s="1"/>
  <c r="R87" i="51"/>
  <c r="P92" i="51"/>
  <c r="X48" i="51"/>
  <c r="R48" i="51"/>
  <c r="X16" i="57"/>
  <c r="H43" i="60"/>
  <c r="N16" i="60"/>
  <c r="T27" i="40"/>
  <c r="Z18" i="40"/>
  <c r="X62" i="58"/>
  <c r="P66" i="58"/>
  <c r="L88" i="42"/>
  <c r="N88" i="42" s="1"/>
  <c r="X18" i="44"/>
  <c r="P27" i="44"/>
  <c r="P88" i="45"/>
  <c r="X21" i="45"/>
  <c r="Z100" i="36"/>
  <c r="L18" i="40"/>
  <c r="D27" i="40"/>
  <c r="R86" i="36"/>
  <c r="R78" i="36"/>
  <c r="R50" i="36"/>
  <c r="R47" i="36"/>
  <c r="R42" i="36"/>
  <c r="R30" i="36"/>
  <c r="R100" i="36"/>
  <c r="R93" i="36"/>
  <c r="R90" i="36"/>
  <c r="R85" i="36"/>
  <c r="R77" i="36"/>
  <c r="R73" i="36"/>
  <c r="R69" i="36"/>
  <c r="R66" i="36"/>
  <c r="R61" i="36"/>
  <c r="R58" i="36"/>
  <c r="R53" i="36"/>
  <c r="R41" i="36"/>
  <c r="R29" i="36"/>
  <c r="R21" i="36"/>
  <c r="R103" i="36"/>
  <c r="R96" i="36"/>
  <c r="R84" i="36"/>
  <c r="R80" i="36"/>
  <c r="R76" i="36"/>
  <c r="R72" i="36"/>
  <c r="R49" i="36"/>
  <c r="R44" i="36"/>
  <c r="R40" i="36"/>
  <c r="R28" i="36"/>
  <c r="R25" i="36"/>
  <c r="R20" i="36"/>
  <c r="X12" i="36"/>
  <c r="Z12" i="36" s="1"/>
  <c r="R101" i="36"/>
  <c r="R98" i="36"/>
  <c r="R82" i="36"/>
  <c r="R79" i="36"/>
  <c r="R46" i="36"/>
  <c r="R43" i="36"/>
  <c r="R38" i="36"/>
  <c r="R34" i="36"/>
  <c r="R19" i="36"/>
  <c r="R107" i="36"/>
  <c r="R94" i="36"/>
  <c r="R89" i="36"/>
  <c r="R74" i="36"/>
  <c r="R70" i="36"/>
  <c r="R65" i="36"/>
  <c r="R62" i="36"/>
  <c r="R57" i="36"/>
  <c r="R54" i="36"/>
  <c r="R37" i="36"/>
  <c r="R33" i="36"/>
  <c r="R26" i="36"/>
  <c r="R97" i="36"/>
  <c r="R88" i="36"/>
  <c r="R81" i="36"/>
  <c r="R48" i="36"/>
  <c r="R45" i="36"/>
  <c r="R32" i="36"/>
  <c r="R102" i="36"/>
  <c r="R75" i="36"/>
  <c r="R68" i="36"/>
  <c r="R67" i="36"/>
  <c r="P23" i="36"/>
  <c r="R63" i="36"/>
  <c r="R95" i="36"/>
  <c r="R64" i="36"/>
  <c r="R60" i="36"/>
  <c r="R59" i="36"/>
  <c r="R35" i="36"/>
  <c r="R36" i="36"/>
  <c r="R87" i="36"/>
  <c r="R56" i="36"/>
  <c r="R55" i="36"/>
  <c r="R31" i="36"/>
  <c r="R92" i="36"/>
  <c r="R39" i="36"/>
  <c r="R51" i="36"/>
  <c r="R52" i="36"/>
  <c r="R91" i="36"/>
  <c r="R71" i="36"/>
  <c r="R27" i="36"/>
  <c r="R83" i="36"/>
  <c r="L98" i="39"/>
  <c r="N98" i="39" s="1"/>
  <c r="Z72" i="33"/>
  <c r="X72" i="33"/>
  <c r="D27" i="32"/>
  <c r="L18" i="32"/>
  <c r="V100" i="36"/>
  <c r="R63" i="33"/>
  <c r="R56" i="33"/>
  <c r="R35" i="33"/>
  <c r="R27" i="33"/>
  <c r="R73" i="33"/>
  <c r="R70" i="33"/>
  <c r="R67" i="33"/>
  <c r="R62" i="33"/>
  <c r="R59" i="33"/>
  <c r="R50" i="33"/>
  <c r="R47" i="33"/>
  <c r="R34" i="33"/>
  <c r="R31" i="33"/>
  <c r="R26" i="33"/>
  <c r="R53" i="33"/>
  <c r="R33" i="33"/>
  <c r="R74" i="33"/>
  <c r="R55" i="33"/>
  <c r="R43" i="33"/>
  <c r="R39" i="33"/>
  <c r="R32" i="33"/>
  <c r="R66" i="33"/>
  <c r="R58" i="33"/>
  <c r="R51" i="33"/>
  <c r="R46" i="33"/>
  <c r="R42" i="33"/>
  <c r="R38" i="33"/>
  <c r="R29" i="33"/>
  <c r="R72" i="33"/>
  <c r="R65" i="33"/>
  <c r="R57" i="33"/>
  <c r="R54" i="33"/>
  <c r="R36" i="33"/>
  <c r="R40" i="33"/>
  <c r="R44" i="33"/>
  <c r="R41" i="33"/>
  <c r="R37" i="33"/>
  <c r="R64" i="33"/>
  <c r="R45" i="33"/>
  <c r="R69" i="33"/>
  <c r="R61" i="33"/>
  <c r="R60" i="33"/>
  <c r="P29" i="33"/>
  <c r="X12" i="33"/>
  <c r="Z12" i="33" s="1"/>
  <c r="R78" i="33"/>
  <c r="R68" i="33"/>
  <c r="R52" i="33"/>
  <c r="R25" i="33"/>
  <c r="R49" i="33"/>
  <c r="R48" i="33"/>
  <c r="Z27" i="34"/>
  <c r="T31" i="34"/>
  <c r="X31" i="34" s="1"/>
  <c r="H27" i="25"/>
  <c r="L27" i="25" s="1"/>
  <c r="N18" i="25"/>
  <c r="H27" i="26"/>
  <c r="N18" i="26"/>
  <c r="T27" i="25"/>
  <c r="Z18" i="25"/>
  <c r="J100" i="27"/>
  <c r="J84" i="27"/>
  <c r="J76" i="27"/>
  <c r="J68" i="27"/>
  <c r="J64" i="27"/>
  <c r="J56" i="27"/>
  <c r="J54" i="27"/>
  <c r="J48" i="27"/>
  <c r="J40" i="27"/>
  <c r="J109" i="27"/>
  <c r="J103" i="27"/>
  <c r="J93" i="27"/>
  <c r="J81" i="27"/>
  <c r="J73" i="27"/>
  <c r="J67" i="27"/>
  <c r="J63" i="27"/>
  <c r="J47" i="27"/>
  <c r="J39" i="27"/>
  <c r="J96" i="27"/>
  <c r="J90" i="27"/>
  <c r="J86" i="27"/>
  <c r="J78" i="27"/>
  <c r="J66" i="27"/>
  <c r="J62" i="27"/>
  <c r="J46" i="27"/>
  <c r="J38" i="27"/>
  <c r="J99" i="27"/>
  <c r="J89" i="27"/>
  <c r="J83" i="27"/>
  <c r="J75" i="27"/>
  <c r="J61" i="27"/>
  <c r="J55" i="27"/>
  <c r="J45" i="27"/>
  <c r="J37" i="27"/>
  <c r="J104" i="27"/>
  <c r="J92" i="27"/>
  <c r="J88" i="27"/>
  <c r="J80" i="27"/>
  <c r="J72" i="27"/>
  <c r="J60" i="27"/>
  <c r="J44" i="27"/>
  <c r="N12" i="27"/>
  <c r="J95" i="27"/>
  <c r="J85" i="27"/>
  <c r="J77" i="27"/>
  <c r="J71" i="27"/>
  <c r="J65" i="27"/>
  <c r="J59" i="27"/>
  <c r="H52" i="27"/>
  <c r="J43" i="27"/>
  <c r="J49" i="27"/>
  <c r="J102" i="27"/>
  <c r="J98" i="27"/>
  <c r="J87" i="27"/>
  <c r="J91" i="27"/>
  <c r="J58" i="27"/>
  <c r="J50" i="27"/>
  <c r="J41" i="27"/>
  <c r="J82" i="27"/>
  <c r="J69" i="27"/>
  <c r="J42" i="27"/>
  <c r="J79" i="27"/>
  <c r="J36" i="27"/>
  <c r="J74" i="27"/>
  <c r="J105" i="27"/>
  <c r="J94" i="27"/>
  <c r="J57" i="27"/>
  <c r="J97" i="27"/>
  <c r="J70" i="27"/>
  <c r="H27" i="22"/>
  <c r="N18" i="22"/>
  <c r="X18" i="31"/>
  <c r="P27" i="31"/>
  <c r="H27" i="16"/>
  <c r="N18" i="16"/>
  <c r="X18" i="17"/>
  <c r="P27" i="17"/>
  <c r="J225" i="18"/>
  <c r="J209" i="18"/>
  <c r="J205" i="18"/>
  <c r="J197" i="18"/>
  <c r="J181" i="18"/>
  <c r="J175" i="18"/>
  <c r="J169" i="18"/>
  <c r="J157" i="18"/>
  <c r="J153" i="18"/>
  <c r="J141" i="18"/>
  <c r="H134" i="18"/>
  <c r="J125" i="18"/>
  <c r="J117" i="18"/>
  <c r="J109" i="18"/>
  <c r="J101" i="18"/>
  <c r="J93" i="18"/>
  <c r="J220" i="18"/>
  <c r="J216" i="18"/>
  <c r="J212" i="18"/>
  <c r="J204" i="18"/>
  <c r="J200" i="18"/>
  <c r="J196" i="18"/>
  <c r="J192" i="18"/>
  <c r="J188" i="18"/>
  <c r="J180" i="18"/>
  <c r="J162" i="18"/>
  <c r="J152" i="18"/>
  <c r="J140" i="18"/>
  <c r="J132" i="18"/>
  <c r="J124" i="18"/>
  <c r="J116" i="18"/>
  <c r="J108" i="18"/>
  <c r="J100" i="18"/>
  <c r="J92" i="18"/>
  <c r="J226" i="18"/>
  <c r="J218" i="18"/>
  <c r="J214" i="18"/>
  <c r="J221" i="18"/>
  <c r="J211" i="18"/>
  <c r="J185" i="18"/>
  <c r="J179" i="18"/>
  <c r="J173" i="18"/>
  <c r="J161" i="18"/>
  <c r="J149" i="18"/>
  <c r="J145" i="18"/>
  <c r="J129" i="18"/>
  <c r="J121" i="18"/>
  <c r="J113" i="18"/>
  <c r="J105" i="18"/>
  <c r="J97" i="18"/>
  <c r="J230" i="18"/>
  <c r="J224" i="18"/>
  <c r="J198" i="18"/>
  <c r="J182" i="18"/>
  <c r="J176" i="18"/>
  <c r="J170" i="18"/>
  <c r="J164" i="18"/>
  <c r="J158" i="18"/>
  <c r="J144" i="18"/>
  <c r="J128" i="18"/>
  <c r="J120" i="18"/>
  <c r="J112" i="18"/>
  <c r="J104" i="18"/>
  <c r="J96" i="18"/>
  <c r="J90" i="18"/>
  <c r="J213" i="18"/>
  <c r="J199" i="18"/>
  <c r="J186" i="18"/>
  <c r="J177" i="18"/>
  <c r="J165" i="18"/>
  <c r="J151" i="18"/>
  <c r="J206" i="18"/>
  <c r="J201" i="18"/>
  <c r="J178" i="18"/>
  <c r="J168" i="18"/>
  <c r="J166" i="18"/>
  <c r="J130" i="18"/>
  <c r="J119" i="18"/>
  <c r="J114" i="18"/>
  <c r="J102" i="18"/>
  <c r="J95" i="18"/>
  <c r="J202" i="18"/>
  <c r="J189" i="18"/>
  <c r="J187" i="18"/>
  <c r="J148" i="18"/>
  <c r="J146" i="18"/>
  <c r="N12" i="18"/>
  <c r="J217" i="18"/>
  <c r="J215" i="18"/>
  <c r="J203" i="18"/>
  <c r="J194" i="18"/>
  <c r="J191" i="18"/>
  <c r="J184" i="18"/>
  <c r="J156" i="18"/>
  <c r="J154" i="18"/>
  <c r="J147" i="18"/>
  <c r="J142" i="18"/>
  <c r="J137" i="18"/>
  <c r="J134" i="18"/>
  <c r="J183" i="18"/>
  <c r="J160" i="18"/>
  <c r="J138" i="18"/>
  <c r="J136" i="18"/>
  <c r="J127" i="18"/>
  <c r="J122" i="18"/>
  <c r="J111" i="18"/>
  <c r="J99" i="18"/>
  <c r="J98" i="18"/>
  <c r="J195" i="18"/>
  <c r="J159" i="18"/>
  <c r="J155" i="18"/>
  <c r="J150" i="18"/>
  <c r="J143" i="18"/>
  <c r="J210" i="18"/>
  <c r="J174" i="18"/>
  <c r="J163" i="18"/>
  <c r="J139" i="18"/>
  <c r="J123" i="18"/>
  <c r="J118" i="18"/>
  <c r="J107" i="18"/>
  <c r="J106" i="18"/>
  <c r="J94" i="18"/>
  <c r="J126" i="18"/>
  <c r="J167" i="18"/>
  <c r="J103" i="18"/>
  <c r="J207" i="18"/>
  <c r="J193" i="18"/>
  <c r="J91" i="18"/>
  <c r="J190" i="18"/>
  <c r="J171" i="18"/>
  <c r="J131" i="18"/>
  <c r="J208" i="18"/>
  <c r="J110" i="18"/>
  <c r="J222" i="18"/>
  <c r="J172" i="18"/>
  <c r="J223" i="18"/>
  <c r="J115" i="18"/>
  <c r="L18" i="25"/>
  <c r="L18" i="10"/>
  <c r="D27" i="10"/>
  <c r="F206" i="15"/>
  <c r="F195" i="15"/>
  <c r="F191" i="15"/>
  <c r="F188" i="15"/>
  <c r="F184" i="15"/>
  <c r="F179" i="15"/>
  <c r="F171" i="15"/>
  <c r="F167" i="15"/>
  <c r="F156" i="15"/>
  <c r="F144" i="15"/>
  <c r="F200" i="15"/>
  <c r="F187" i="15"/>
  <c r="F183" i="15"/>
  <c r="F175" i="15"/>
  <c r="F162" i="15"/>
  <c r="F159" i="15"/>
  <c r="F150" i="15"/>
  <c r="F194" i="15"/>
  <c r="F190" i="15"/>
  <c r="F182" i="15"/>
  <c r="F178" i="15"/>
  <c r="F174" i="15"/>
  <c r="F170" i="15"/>
  <c r="F166" i="15"/>
  <c r="F158" i="15"/>
  <c r="F153" i="15"/>
  <c r="F201" i="15"/>
  <c r="F196" i="15"/>
  <c r="F192" i="15"/>
  <c r="F180" i="15"/>
  <c r="F172" i="15"/>
  <c r="F168" i="15"/>
  <c r="F164" i="15"/>
  <c r="F155" i="15"/>
  <c r="F152" i="15"/>
  <c r="F143" i="15"/>
  <c r="F186" i="15"/>
  <c r="F163" i="15"/>
  <c r="F199" i="15"/>
  <c r="F189" i="15"/>
  <c r="F202" i="15"/>
  <c r="F185" i="15"/>
  <c r="F176" i="15"/>
  <c r="F160" i="15"/>
  <c r="F148" i="15"/>
  <c r="F145" i="15"/>
  <c r="F141" i="15"/>
  <c r="F136" i="15"/>
  <c r="F198" i="15"/>
  <c r="F142" i="15"/>
  <c r="F131" i="15"/>
  <c r="F126" i="15"/>
  <c r="F119" i="15"/>
  <c r="F103" i="15"/>
  <c r="F95" i="15"/>
  <c r="F87" i="15"/>
  <c r="F79" i="15"/>
  <c r="F169" i="15"/>
  <c r="F165" i="15"/>
  <c r="F157" i="15"/>
  <c r="F135" i="15"/>
  <c r="F130" i="15"/>
  <c r="F118" i="15"/>
  <c r="D112" i="15"/>
  <c r="F110" i="15"/>
  <c r="F102" i="15"/>
  <c r="F94" i="15"/>
  <c r="F86" i="15"/>
  <c r="F78" i="15"/>
  <c r="F181" i="15"/>
  <c r="F147" i="15"/>
  <c r="F129" i="15"/>
  <c r="F125" i="15"/>
  <c r="F117" i="15"/>
  <c r="F109" i="15"/>
  <c r="F101" i="15"/>
  <c r="F93" i="15"/>
  <c r="F85" i="15"/>
  <c r="F77" i="15"/>
  <c r="F173" i="15"/>
  <c r="F149" i="15"/>
  <c r="F146" i="15"/>
  <c r="F128" i="15"/>
  <c r="F124" i="15"/>
  <c r="F116" i="15"/>
  <c r="F108" i="15"/>
  <c r="F100" i="15"/>
  <c r="F92" i="15"/>
  <c r="F84" i="15"/>
  <c r="L12" i="15"/>
  <c r="N12" i="15" s="1"/>
  <c r="F193" i="15"/>
  <c r="F134" i="15"/>
  <c r="F127" i="15"/>
  <c r="F123" i="15"/>
  <c r="F114" i="15"/>
  <c r="F107" i="15"/>
  <c r="F99" i="15"/>
  <c r="F91" i="15"/>
  <c r="F83" i="15"/>
  <c r="F154" i="15"/>
  <c r="F122" i="15"/>
  <c r="F106" i="15"/>
  <c r="F98" i="15"/>
  <c r="F90" i="15"/>
  <c r="F82" i="15"/>
  <c r="F177" i="15"/>
  <c r="F151" i="15"/>
  <c r="F140" i="15"/>
  <c r="F139" i="15"/>
  <c r="F133" i="15"/>
  <c r="F121" i="15"/>
  <c r="F105" i="15"/>
  <c r="F97" i="15"/>
  <c r="F89" i="15"/>
  <c r="F81" i="15"/>
  <c r="F76" i="15"/>
  <c r="F161" i="15"/>
  <c r="F115" i="15"/>
  <c r="F132" i="15"/>
  <c r="F137" i="15"/>
  <c r="F104" i="15"/>
  <c r="F96" i="15"/>
  <c r="F80" i="15"/>
  <c r="F88" i="15"/>
  <c r="F138" i="15"/>
  <c r="F120" i="15"/>
  <c r="L18" i="4"/>
  <c r="D27" i="4"/>
  <c r="R142" i="3"/>
  <c r="D91" i="9"/>
  <c r="F117" i="12"/>
  <c r="H36" i="8"/>
  <c r="N36" i="8" s="1"/>
  <c r="N31" i="8"/>
  <c r="Z20" i="95"/>
  <c r="P48" i="90"/>
  <c r="X44" i="90"/>
  <c r="H79" i="85"/>
  <c r="L20" i="78"/>
  <c r="D28" i="78"/>
  <c r="P42" i="63"/>
  <c r="X38" i="63"/>
  <c r="Z38" i="63" s="1"/>
  <c r="D51" i="61"/>
  <c r="L51" i="61" s="1"/>
  <c r="L48" i="61"/>
  <c r="N48" i="61" s="1"/>
  <c r="X18" i="53"/>
  <c r="P27" i="53"/>
  <c r="L16" i="57"/>
  <c r="D59" i="57"/>
  <c r="J87" i="39"/>
  <c r="J79" i="39"/>
  <c r="J75" i="39"/>
  <c r="J71" i="39"/>
  <c r="J63" i="39"/>
  <c r="J57" i="39"/>
  <c r="J51" i="39"/>
  <c r="J43" i="39"/>
  <c r="J39" i="39"/>
  <c r="J33" i="39"/>
  <c r="J98" i="39"/>
  <c r="J94" i="39"/>
  <c r="J86" i="39"/>
  <c r="J82" i="39"/>
  <c r="J78" i="39"/>
  <c r="J74" i="39"/>
  <c r="J68" i="39"/>
  <c r="J62" i="39"/>
  <c r="J48" i="39"/>
  <c r="J38" i="39"/>
  <c r="J30" i="39"/>
  <c r="J101" i="39"/>
  <c r="J91" i="39"/>
  <c r="J85" i="39"/>
  <c r="J77" i="39"/>
  <c r="J73" i="39"/>
  <c r="J65" i="39"/>
  <c r="J59" i="39"/>
  <c r="J53" i="39"/>
  <c r="J37" i="39"/>
  <c r="H30" i="39"/>
  <c r="J105" i="39"/>
  <c r="J99" i="39"/>
  <c r="J93" i="39"/>
  <c r="J81" i="39"/>
  <c r="J67" i="39"/>
  <c r="J61" i="39"/>
  <c r="J55" i="39"/>
  <c r="J47" i="39"/>
  <c r="J35" i="39"/>
  <c r="J27" i="39"/>
  <c r="J90" i="39"/>
  <c r="J76" i="39"/>
  <c r="J72" i="39"/>
  <c r="J64" i="39"/>
  <c r="J58" i="39"/>
  <c r="J52" i="39"/>
  <c r="J46" i="39"/>
  <c r="J34" i="39"/>
  <c r="J32" i="39"/>
  <c r="J95" i="39"/>
  <c r="J89" i="39"/>
  <c r="J83" i="39"/>
  <c r="J69" i="39"/>
  <c r="J49" i="39"/>
  <c r="J45" i="39"/>
  <c r="J41" i="39"/>
  <c r="J54" i="39"/>
  <c r="J50" i="39"/>
  <c r="J36" i="39"/>
  <c r="J26" i="39"/>
  <c r="J92" i="39"/>
  <c r="J88" i="39"/>
  <c r="J44" i="39"/>
  <c r="J70" i="39"/>
  <c r="J42" i="39"/>
  <c r="N12" i="39"/>
  <c r="J100" i="39"/>
  <c r="J96" i="39"/>
  <c r="J80" i="39"/>
  <c r="J66" i="39"/>
  <c r="J84" i="39"/>
  <c r="J56" i="39"/>
  <c r="J28" i="39"/>
  <c r="J60" i="39"/>
  <c r="J40" i="39"/>
  <c r="V102" i="27"/>
  <c r="V92" i="27"/>
  <c r="V88" i="27"/>
  <c r="V80" i="27"/>
  <c r="V72" i="27"/>
  <c r="V60" i="27"/>
  <c r="V44" i="27"/>
  <c r="V36" i="27"/>
  <c r="V105" i="27"/>
  <c r="V95" i="27"/>
  <c r="V91" i="27"/>
  <c r="V87" i="27"/>
  <c r="V79" i="27"/>
  <c r="V71" i="27"/>
  <c r="V59" i="27"/>
  <c r="V43" i="27"/>
  <c r="V98" i="27"/>
  <c r="V94" i="27"/>
  <c r="V82" i="27"/>
  <c r="V74" i="27"/>
  <c r="V70" i="27"/>
  <c r="V58" i="27"/>
  <c r="V54" i="27"/>
  <c r="V50" i="27"/>
  <c r="V42" i="27"/>
  <c r="V103" i="27"/>
  <c r="V97" i="27"/>
  <c r="V93" i="27"/>
  <c r="V81" i="27"/>
  <c r="V73" i="27"/>
  <c r="V69" i="27"/>
  <c r="V57" i="27"/>
  <c r="V49" i="27"/>
  <c r="V41" i="27"/>
  <c r="V100" i="27"/>
  <c r="V96" i="27"/>
  <c r="V84" i="27"/>
  <c r="V76" i="27"/>
  <c r="V68" i="27"/>
  <c r="V64" i="27"/>
  <c r="V56" i="27"/>
  <c r="V48" i="27"/>
  <c r="V40" i="27"/>
  <c r="V109" i="27"/>
  <c r="V99" i="27"/>
  <c r="V83" i="27"/>
  <c r="V75" i="27"/>
  <c r="V67" i="27"/>
  <c r="V63" i="27"/>
  <c r="V55" i="27"/>
  <c r="V47" i="27"/>
  <c r="V39" i="27"/>
  <c r="V65" i="27"/>
  <c r="V77" i="27"/>
  <c r="V61" i="27"/>
  <c r="V104" i="27"/>
  <c r="V66" i="27"/>
  <c r="V52" i="27"/>
  <c r="V78" i="27"/>
  <c r="V62" i="27"/>
  <c r="T52" i="27"/>
  <c r="V45" i="27"/>
  <c r="V89" i="27"/>
  <c r="V85" i="27"/>
  <c r="V37" i="27"/>
  <c r="V46" i="27"/>
  <c r="V38" i="27"/>
  <c r="V86" i="27"/>
  <c r="V90" i="27"/>
  <c r="D27" i="14"/>
  <c r="L18" i="14"/>
  <c r="H27" i="99"/>
  <c r="N18" i="99"/>
  <c r="T78" i="94"/>
  <c r="T27" i="99"/>
  <c r="Z18" i="99"/>
  <c r="X18" i="99"/>
  <c r="J55" i="96"/>
  <c r="L18" i="97"/>
  <c r="D27" i="97"/>
  <c r="T27" i="98"/>
  <c r="Z18" i="98"/>
  <c r="L20" i="95"/>
  <c r="N20" i="95" s="1"/>
  <c r="L18" i="98"/>
  <c r="X16" i="90"/>
  <c r="H38" i="83"/>
  <c r="N16" i="83"/>
  <c r="J20" i="85"/>
  <c r="L17" i="84"/>
  <c r="D34" i="84"/>
  <c r="D36" i="82"/>
  <c r="L32" i="82"/>
  <c r="N32" i="82" s="1"/>
  <c r="X17" i="74"/>
  <c r="Z17" i="74" s="1"/>
  <c r="P42" i="74"/>
  <c r="V20" i="78"/>
  <c r="R38" i="76"/>
  <c r="R35" i="76"/>
  <c r="R31" i="76"/>
  <c r="R26" i="76"/>
  <c r="R18" i="76"/>
  <c r="R61" i="76"/>
  <c r="R49" i="76"/>
  <c r="R46" i="76"/>
  <c r="R25" i="76"/>
  <c r="R22" i="76"/>
  <c r="R17" i="76"/>
  <c r="R67" i="76"/>
  <c r="R60" i="76"/>
  <c r="R56" i="76"/>
  <c r="R52" i="76"/>
  <c r="R40" i="76"/>
  <c r="R37" i="76"/>
  <c r="R24" i="76"/>
  <c r="R63" i="76"/>
  <c r="R59" i="76"/>
  <c r="R55" i="76"/>
  <c r="R51" i="76"/>
  <c r="R48" i="76"/>
  <c r="R43" i="76"/>
  <c r="R16" i="76"/>
  <c r="R58" i="76"/>
  <c r="R54" i="76"/>
  <c r="R42" i="76"/>
  <c r="R39" i="76"/>
  <c r="R34" i="76"/>
  <c r="R30" i="76"/>
  <c r="R23" i="76"/>
  <c r="R71" i="76"/>
  <c r="R65" i="76"/>
  <c r="R62" i="76"/>
  <c r="R50" i="76"/>
  <c r="R45" i="76"/>
  <c r="R33" i="76"/>
  <c r="R29" i="76"/>
  <c r="R64" i="76"/>
  <c r="R47" i="76"/>
  <c r="R44" i="76"/>
  <c r="R27" i="76"/>
  <c r="R36" i="76"/>
  <c r="X12" i="76"/>
  <c r="P20" i="76"/>
  <c r="R20" i="76" s="1"/>
  <c r="R53" i="76"/>
  <c r="R28" i="76"/>
  <c r="R57" i="76"/>
  <c r="R41" i="76"/>
  <c r="R32" i="76"/>
  <c r="H29" i="75"/>
  <c r="H95" i="77"/>
  <c r="J85" i="71"/>
  <c r="J81" i="71"/>
  <c r="J67" i="71"/>
  <c r="J57" i="71"/>
  <c r="J51" i="71"/>
  <c r="J41" i="71"/>
  <c r="J94" i="71"/>
  <c r="J88" i="71"/>
  <c r="J78" i="71"/>
  <c r="J72" i="71"/>
  <c r="J56" i="71"/>
  <c r="J40" i="71"/>
  <c r="J34" i="71"/>
  <c r="J75" i="71"/>
  <c r="J69" i="71"/>
  <c r="J61" i="71"/>
  <c r="J55" i="71"/>
  <c r="H48" i="71"/>
  <c r="J48" i="71" s="1"/>
  <c r="J39" i="71"/>
  <c r="J89" i="71"/>
  <c r="J77" i="71"/>
  <c r="J71" i="71"/>
  <c r="J65" i="71"/>
  <c r="J53" i="71"/>
  <c r="J45" i="71"/>
  <c r="J37" i="71"/>
  <c r="J68" i="71"/>
  <c r="J64" i="71"/>
  <c r="J60" i="71"/>
  <c r="J52" i="71"/>
  <c r="J50" i="71"/>
  <c r="J44" i="71"/>
  <c r="J36" i="71"/>
  <c r="N12" i="71"/>
  <c r="J73" i="71"/>
  <c r="J66" i="71"/>
  <c r="J62" i="71"/>
  <c r="J54" i="71"/>
  <c r="J38" i="71"/>
  <c r="J87" i="71"/>
  <c r="J63" i="71"/>
  <c r="J58" i="71"/>
  <c r="J35" i="71"/>
  <c r="J84" i="71"/>
  <c r="J76" i="71"/>
  <c r="J46" i="71"/>
  <c r="J74" i="71"/>
  <c r="J80" i="71"/>
  <c r="J83" i="71"/>
  <c r="J79" i="71"/>
  <c r="J59" i="71"/>
  <c r="J42" i="71"/>
  <c r="J90" i="71"/>
  <c r="J82" i="71"/>
  <c r="J70" i="71"/>
  <c r="J43" i="71"/>
  <c r="D29" i="75"/>
  <c r="L23" i="75"/>
  <c r="N23" i="75" s="1"/>
  <c r="F65" i="73"/>
  <c r="F59" i="73"/>
  <c r="F50" i="73"/>
  <c r="F41" i="73"/>
  <c r="F38" i="73"/>
  <c r="F26" i="73"/>
  <c r="F63" i="73"/>
  <c r="F57" i="73"/>
  <c r="F25" i="73"/>
  <c r="F43" i="73"/>
  <c r="F40" i="73"/>
  <c r="F35" i="73"/>
  <c r="F31" i="73"/>
  <c r="F24" i="73"/>
  <c r="F54" i="73"/>
  <c r="F46" i="73"/>
  <c r="F68" i="73"/>
  <c r="F61" i="73"/>
  <c r="F49" i="73"/>
  <c r="F42" i="73"/>
  <c r="F37" i="73"/>
  <c r="F34" i="73"/>
  <c r="F30" i="73"/>
  <c r="F56" i="73"/>
  <c r="F53" i="73"/>
  <c r="F45" i="73"/>
  <c r="F33" i="73"/>
  <c r="F29" i="73"/>
  <c r="F55" i="73"/>
  <c r="F51" i="73"/>
  <c r="F47" i="73"/>
  <c r="F52" i="73"/>
  <c r="F32" i="73"/>
  <c r="F19" i="73"/>
  <c r="D19" i="73"/>
  <c r="F17" i="73"/>
  <c r="F27" i="73"/>
  <c r="F21" i="73"/>
  <c r="F44" i="73"/>
  <c r="F16" i="73"/>
  <c r="L12" i="73"/>
  <c r="N12" i="73" s="1"/>
  <c r="F28" i="73"/>
  <c r="F23" i="73"/>
  <c r="F22" i="73"/>
  <c r="F39" i="73"/>
  <c r="F36" i="73"/>
  <c r="F48" i="73"/>
  <c r="R29" i="67"/>
  <c r="P21" i="67"/>
  <c r="R50" i="67"/>
  <c r="R44" i="67"/>
  <c r="R41" i="67"/>
  <c r="R36" i="67"/>
  <c r="R33" i="67"/>
  <c r="R28" i="67"/>
  <c r="X12" i="67"/>
  <c r="R55" i="67"/>
  <c r="R48" i="67"/>
  <c r="R27" i="67"/>
  <c r="R19" i="67"/>
  <c r="R40" i="67"/>
  <c r="R37" i="67"/>
  <c r="R32" i="67"/>
  <c r="R38" i="67"/>
  <c r="R52" i="67"/>
  <c r="R42" i="67"/>
  <c r="R39" i="67"/>
  <c r="R46" i="67"/>
  <c r="R24" i="67"/>
  <c r="R23" i="67"/>
  <c r="R35" i="67"/>
  <c r="R31" i="67"/>
  <c r="R21" i="67"/>
  <c r="R43" i="67"/>
  <c r="R18" i="67"/>
  <c r="R30" i="67"/>
  <c r="R34" i="67"/>
  <c r="R25" i="67"/>
  <c r="R26" i="67"/>
  <c r="Z16" i="65"/>
  <c r="T32" i="65"/>
  <c r="T91" i="62"/>
  <c r="Z16" i="62"/>
  <c r="X16" i="65"/>
  <c r="L102" i="66"/>
  <c r="N102" i="66" s="1"/>
  <c r="X18" i="47"/>
  <c r="P27" i="47"/>
  <c r="H27" i="53"/>
  <c r="N18" i="53"/>
  <c r="L18" i="44"/>
  <c r="D27" i="44"/>
  <c r="T22" i="54"/>
  <c r="Z16" i="54"/>
  <c r="J68" i="51"/>
  <c r="J64" i="51"/>
  <c r="J60" i="51"/>
  <c r="J52" i="51"/>
  <c r="J50" i="51"/>
  <c r="J44" i="51"/>
  <c r="J36" i="51"/>
  <c r="N12" i="51"/>
  <c r="J87" i="51"/>
  <c r="J83" i="51"/>
  <c r="J79" i="51"/>
  <c r="J73" i="51"/>
  <c r="J63" i="51"/>
  <c r="J59" i="51"/>
  <c r="J43" i="51"/>
  <c r="J35" i="51"/>
  <c r="J90" i="51"/>
  <c r="J82" i="51"/>
  <c r="J76" i="51"/>
  <c r="J70" i="51"/>
  <c r="J62" i="51"/>
  <c r="J58" i="51"/>
  <c r="J42" i="51"/>
  <c r="J85" i="51"/>
  <c r="J81" i="51"/>
  <c r="J67" i="51"/>
  <c r="J57" i="51"/>
  <c r="J51" i="51"/>
  <c r="J41" i="51"/>
  <c r="J75" i="51"/>
  <c r="J69" i="51"/>
  <c r="J61" i="51"/>
  <c r="J55" i="51"/>
  <c r="H48" i="51"/>
  <c r="J39" i="51"/>
  <c r="J84" i="51"/>
  <c r="J80" i="51"/>
  <c r="J74" i="51"/>
  <c r="J66" i="51"/>
  <c r="J54" i="51"/>
  <c r="J46" i="51"/>
  <c r="J38" i="51"/>
  <c r="J45" i="51"/>
  <c r="J37" i="51"/>
  <c r="J72" i="51"/>
  <c r="J40" i="51"/>
  <c r="J88" i="51"/>
  <c r="J89" i="51"/>
  <c r="J94" i="51"/>
  <c r="J78" i="51"/>
  <c r="J77" i="51"/>
  <c r="J65" i="51"/>
  <c r="J53" i="51"/>
  <c r="J34" i="51"/>
  <c r="J71" i="51"/>
  <c r="J56" i="51"/>
  <c r="P63" i="57"/>
  <c r="X59" i="57"/>
  <c r="N27" i="43"/>
  <c r="H31" i="43"/>
  <c r="P27" i="43"/>
  <c r="X18" i="43"/>
  <c r="H31" i="37"/>
  <c r="N27" i="37"/>
  <c r="X18" i="25"/>
  <c r="P27" i="25"/>
  <c r="N16" i="54"/>
  <c r="H22" i="54"/>
  <c r="Z137" i="30"/>
  <c r="Z18" i="35"/>
  <c r="T27" i="35"/>
  <c r="T27" i="29"/>
  <c r="Z18" i="29"/>
  <c r="P27" i="32"/>
  <c r="X18" i="32"/>
  <c r="R104" i="27"/>
  <c r="R89" i="27"/>
  <c r="R61" i="27"/>
  <c r="R52" i="27"/>
  <c r="R45" i="27"/>
  <c r="R37" i="27"/>
  <c r="R92" i="27"/>
  <c r="R88" i="27"/>
  <c r="R85" i="27"/>
  <c r="R80" i="27"/>
  <c r="R77" i="27"/>
  <c r="R72" i="27"/>
  <c r="R65" i="27"/>
  <c r="R60" i="27"/>
  <c r="P52" i="27"/>
  <c r="R44" i="27"/>
  <c r="X12" i="27"/>
  <c r="Z12" i="27" s="1"/>
  <c r="R102" i="27"/>
  <c r="R95" i="27"/>
  <c r="R71" i="27"/>
  <c r="R59" i="27"/>
  <c r="R43" i="27"/>
  <c r="R36" i="27"/>
  <c r="R105" i="27"/>
  <c r="R98" i="27"/>
  <c r="R94" i="27"/>
  <c r="R91" i="27"/>
  <c r="R87" i="27"/>
  <c r="R82" i="27"/>
  <c r="R79" i="27"/>
  <c r="R74" i="27"/>
  <c r="R70" i="27"/>
  <c r="R58" i="27"/>
  <c r="R50" i="27"/>
  <c r="R42" i="27"/>
  <c r="R97" i="27"/>
  <c r="R69" i="27"/>
  <c r="R57" i="27"/>
  <c r="R54" i="27"/>
  <c r="R49" i="27"/>
  <c r="R41" i="27"/>
  <c r="R103" i="27"/>
  <c r="R100" i="27"/>
  <c r="R93" i="27"/>
  <c r="R84" i="27"/>
  <c r="R81" i="27"/>
  <c r="R76" i="27"/>
  <c r="R73" i="27"/>
  <c r="R68" i="27"/>
  <c r="R64" i="27"/>
  <c r="R56" i="27"/>
  <c r="R48" i="27"/>
  <c r="R40" i="27"/>
  <c r="R90" i="27"/>
  <c r="R86" i="27"/>
  <c r="R47" i="27"/>
  <c r="R38" i="27"/>
  <c r="R99" i="27"/>
  <c r="R96" i="27"/>
  <c r="R83" i="27"/>
  <c r="R39" i="27"/>
  <c r="R66" i="27"/>
  <c r="R109" i="27"/>
  <c r="R78" i="27"/>
  <c r="R67" i="27"/>
  <c r="R62" i="27"/>
  <c r="R63" i="27"/>
  <c r="R75" i="27"/>
  <c r="R55" i="27"/>
  <c r="R46" i="27"/>
  <c r="L18" i="22"/>
  <c r="D27" i="22"/>
  <c r="V78" i="21"/>
  <c r="V72" i="21"/>
  <c r="V56" i="21"/>
  <c r="V48" i="21"/>
  <c r="V32" i="21"/>
  <c r="V24" i="21"/>
  <c r="V71" i="21"/>
  <c r="V59" i="21"/>
  <c r="V51" i="21"/>
  <c r="V47" i="21"/>
  <c r="V31" i="21"/>
  <c r="V23" i="21"/>
  <c r="V74" i="21"/>
  <c r="V70" i="21"/>
  <c r="V66" i="21"/>
  <c r="V62" i="21"/>
  <c r="V58" i="21"/>
  <c r="V50" i="21"/>
  <c r="V42" i="21"/>
  <c r="V38" i="21"/>
  <c r="V30" i="21"/>
  <c r="V73" i="21"/>
  <c r="V69" i="21"/>
  <c r="V65" i="21"/>
  <c r="V61" i="21"/>
  <c r="V53" i="21"/>
  <c r="V49" i="21"/>
  <c r="V41" i="21"/>
  <c r="V37" i="21"/>
  <c r="V82" i="21"/>
  <c r="V76" i="21"/>
  <c r="V68" i="21"/>
  <c r="V64" i="21"/>
  <c r="V60" i="21"/>
  <c r="V52" i="21"/>
  <c r="V44" i="21"/>
  <c r="V40" i="21"/>
  <c r="V36" i="21"/>
  <c r="T27" i="21"/>
  <c r="V27" i="21" s="1"/>
  <c r="Z12" i="21"/>
  <c r="V75" i="21"/>
  <c r="V67" i="21"/>
  <c r="V63" i="21"/>
  <c r="V55" i="21"/>
  <c r="V43" i="21"/>
  <c r="V39" i="21"/>
  <c r="V35" i="21"/>
  <c r="V34" i="21"/>
  <c r="V45" i="21"/>
  <c r="V25" i="21"/>
  <c r="V57" i="21"/>
  <c r="V33" i="21"/>
  <c r="V54" i="21"/>
  <c r="V46" i="21"/>
  <c r="V29" i="21"/>
  <c r="T27" i="16"/>
  <c r="Z18" i="16"/>
  <c r="F143" i="30"/>
  <c r="F133" i="30"/>
  <c r="F120" i="30"/>
  <c r="F113" i="30"/>
  <c r="F104" i="30"/>
  <c r="F101" i="30"/>
  <c r="F81" i="30"/>
  <c r="D75" i="30"/>
  <c r="F73" i="30"/>
  <c r="F65" i="30"/>
  <c r="F57" i="30"/>
  <c r="F137" i="30"/>
  <c r="F123" i="30"/>
  <c r="F116" i="30"/>
  <c r="F107" i="30"/>
  <c r="F100" i="30"/>
  <c r="F95" i="30"/>
  <c r="F92" i="30"/>
  <c r="F87" i="30"/>
  <c r="F80" i="30"/>
  <c r="F72" i="30"/>
  <c r="F64" i="30"/>
  <c r="F56" i="30"/>
  <c r="F135" i="30"/>
  <c r="F130" i="30"/>
  <c r="F119" i="30"/>
  <c r="F115" i="30"/>
  <c r="F103" i="30"/>
  <c r="F91" i="30"/>
  <c r="F79" i="30"/>
  <c r="F71" i="30"/>
  <c r="F63" i="30"/>
  <c r="F55" i="30"/>
  <c r="F125" i="30"/>
  <c r="F122" i="30"/>
  <c r="F118" i="30"/>
  <c r="F109" i="30"/>
  <c r="F106" i="30"/>
  <c r="F97" i="30"/>
  <c r="F94" i="30"/>
  <c r="F90" i="30"/>
  <c r="F86" i="30"/>
  <c r="F77" i="30"/>
  <c r="F70" i="30"/>
  <c r="F62" i="30"/>
  <c r="F54" i="30"/>
  <c r="F138" i="30"/>
  <c r="F132" i="30"/>
  <c r="F129" i="30"/>
  <c r="F121" i="30"/>
  <c r="F112" i="30"/>
  <c r="F105" i="30"/>
  <c r="F89" i="30"/>
  <c r="F85" i="30"/>
  <c r="F69" i="30"/>
  <c r="F61" i="30"/>
  <c r="F128" i="30"/>
  <c r="F124" i="30"/>
  <c r="F108" i="30"/>
  <c r="F99" i="30"/>
  <c r="F96" i="30"/>
  <c r="F88" i="30"/>
  <c r="F84" i="30"/>
  <c r="F68" i="30"/>
  <c r="F60" i="30"/>
  <c r="L12" i="30"/>
  <c r="N12" i="30" s="1"/>
  <c r="F127" i="30"/>
  <c r="F102" i="30"/>
  <c r="F75" i="30"/>
  <c r="F139" i="30"/>
  <c r="F131" i="30"/>
  <c r="F82" i="30"/>
  <c r="F66" i="30"/>
  <c r="F67" i="30"/>
  <c r="F58" i="30"/>
  <c r="F83" i="30"/>
  <c r="F117" i="30"/>
  <c r="F59" i="30"/>
  <c r="F126" i="30"/>
  <c r="F110" i="30"/>
  <c r="F78" i="30"/>
  <c r="F98" i="30"/>
  <c r="F134" i="30"/>
  <c r="F114" i="30"/>
  <c r="F111" i="30"/>
  <c r="F53" i="30"/>
  <c r="F93" i="30"/>
  <c r="H27" i="14"/>
  <c r="N18" i="14"/>
  <c r="T27" i="14"/>
  <c r="Z18" i="14"/>
  <c r="V204" i="12"/>
  <c r="V200" i="12"/>
  <c r="V188" i="12"/>
  <c r="V184" i="12"/>
  <c r="V180" i="12"/>
  <c r="V176" i="12"/>
  <c r="V172" i="12"/>
  <c r="V168" i="12"/>
  <c r="V164" i="12"/>
  <c r="V156" i="12"/>
  <c r="V144" i="12"/>
  <c r="V132" i="12"/>
  <c r="V128" i="12"/>
  <c r="V120" i="12"/>
  <c r="V112" i="12"/>
  <c r="V104" i="12"/>
  <c r="V96" i="12"/>
  <c r="V88" i="12"/>
  <c r="V80" i="12"/>
  <c r="V209" i="12"/>
  <c r="V187" i="12"/>
  <c r="V179" i="12"/>
  <c r="V175" i="12"/>
  <c r="V171" i="12"/>
  <c r="V167" i="12"/>
  <c r="V159" i="12"/>
  <c r="V155" i="12"/>
  <c r="V147" i="12"/>
  <c r="V143" i="12"/>
  <c r="V131" i="12"/>
  <c r="V127" i="12"/>
  <c r="V111" i="12"/>
  <c r="V103" i="12"/>
  <c r="V95" i="12"/>
  <c r="V87" i="12"/>
  <c r="V79" i="12"/>
  <c r="V194" i="12"/>
  <c r="V178" i="12"/>
  <c r="V174" i="12"/>
  <c r="V170" i="12"/>
  <c r="V158" i="12"/>
  <c r="V150" i="12"/>
  <c r="V146" i="12"/>
  <c r="V138" i="12"/>
  <c r="V126" i="12"/>
  <c r="T117" i="12"/>
  <c r="V110" i="12"/>
  <c r="V102" i="12"/>
  <c r="V94" i="12"/>
  <c r="V86" i="12"/>
  <c r="V215" i="12"/>
  <c r="V207" i="12"/>
  <c r="V197" i="12"/>
  <c r="V193" i="12"/>
  <c r="V169" i="12"/>
  <c r="V161" i="12"/>
  <c r="V149" i="12"/>
  <c r="V145" i="12"/>
  <c r="V137" i="12"/>
  <c r="V125" i="12"/>
  <c r="V109" i="12"/>
  <c r="V101" i="12"/>
  <c r="V93" i="12"/>
  <c r="V85" i="12"/>
  <c r="V210" i="12"/>
  <c r="V196" i="12"/>
  <c r="V192" i="12"/>
  <c r="V160" i="12"/>
  <c r="V152" i="12"/>
  <c r="V148" i="12"/>
  <c r="V140" i="12"/>
  <c r="V136" i="12"/>
  <c r="V124" i="12"/>
  <c r="V108" i="12"/>
  <c r="V100" i="12"/>
  <c r="V92" i="12"/>
  <c r="V84" i="12"/>
  <c r="V203" i="12"/>
  <c r="V199" i="12"/>
  <c r="V195" i="12"/>
  <c r="V191" i="12"/>
  <c r="V183" i="12"/>
  <c r="V163" i="12"/>
  <c r="V151" i="12"/>
  <c r="V139" i="12"/>
  <c r="V135" i="12"/>
  <c r="V123" i="12"/>
  <c r="V119" i="12"/>
  <c r="V115" i="12"/>
  <c r="V107" i="12"/>
  <c r="V99" i="12"/>
  <c r="V91" i="12"/>
  <c r="V83" i="12"/>
  <c r="V208" i="12"/>
  <c r="V202" i="12"/>
  <c r="V198" i="12"/>
  <c r="V190" i="12"/>
  <c r="V186" i="12"/>
  <c r="V182" i="12"/>
  <c r="V166" i="12"/>
  <c r="V162" i="12"/>
  <c r="V154" i="12"/>
  <c r="V142" i="12"/>
  <c r="V134" i="12"/>
  <c r="V130" i="12"/>
  <c r="V122" i="12"/>
  <c r="V114" i="12"/>
  <c r="V106" i="12"/>
  <c r="V98" i="12"/>
  <c r="V90" i="12"/>
  <c r="V82" i="12"/>
  <c r="V205" i="12"/>
  <c r="V165" i="12"/>
  <c r="V141" i="12"/>
  <c r="V129" i="12"/>
  <c r="V89" i="12"/>
  <c r="V81" i="12"/>
  <c r="V189" i="12"/>
  <c r="V177" i="12"/>
  <c r="V97" i="12"/>
  <c r="V105" i="12"/>
  <c r="V211" i="12"/>
  <c r="V157" i="12"/>
  <c r="V133" i="12"/>
  <c r="V113" i="12"/>
  <c r="V201" i="12"/>
  <c r="V181" i="12"/>
  <c r="V121" i="12"/>
  <c r="V173" i="12"/>
  <c r="V153" i="12"/>
  <c r="V185" i="12"/>
  <c r="R208" i="12"/>
  <c r="R205" i="12"/>
  <c r="R201" i="12"/>
  <c r="R198" i="12"/>
  <c r="R189" i="12"/>
  <c r="R185" i="12"/>
  <c r="R181" i="12"/>
  <c r="R177" i="12"/>
  <c r="R173" i="12"/>
  <c r="R165" i="12"/>
  <c r="R162" i="12"/>
  <c r="R157" i="12"/>
  <c r="R133" i="12"/>
  <c r="R129" i="12"/>
  <c r="R121" i="12"/>
  <c r="R113" i="12"/>
  <c r="R105" i="12"/>
  <c r="R97" i="12"/>
  <c r="R89" i="12"/>
  <c r="R81" i="12"/>
  <c r="R211" i="12"/>
  <c r="R188" i="12"/>
  <c r="R180" i="12"/>
  <c r="R176" i="12"/>
  <c r="R172" i="12"/>
  <c r="R168" i="12"/>
  <c r="R156" i="12"/>
  <c r="R153" i="12"/>
  <c r="R144" i="12"/>
  <c r="R141" i="12"/>
  <c r="R132" i="12"/>
  <c r="R128" i="12"/>
  <c r="R112" i="12"/>
  <c r="R104" i="12"/>
  <c r="R96" i="12"/>
  <c r="R88" i="12"/>
  <c r="R80" i="12"/>
  <c r="R204" i="12"/>
  <c r="R200" i="12"/>
  <c r="R184" i="12"/>
  <c r="R179" i="12"/>
  <c r="R175" i="12"/>
  <c r="R171" i="12"/>
  <c r="R164" i="12"/>
  <c r="R159" i="12"/>
  <c r="R147" i="12"/>
  <c r="R127" i="12"/>
  <c r="R120" i="12"/>
  <c r="R111" i="12"/>
  <c r="R103" i="12"/>
  <c r="R95" i="12"/>
  <c r="R87" i="12"/>
  <c r="R209" i="12"/>
  <c r="R194" i="12"/>
  <c r="R187" i="12"/>
  <c r="R170" i="12"/>
  <c r="R167" i="12"/>
  <c r="R155" i="12"/>
  <c r="R150" i="12"/>
  <c r="R146" i="12"/>
  <c r="R143" i="12"/>
  <c r="R138" i="12"/>
  <c r="R131" i="12"/>
  <c r="R126" i="12"/>
  <c r="R110" i="12"/>
  <c r="R102" i="12"/>
  <c r="R94" i="12"/>
  <c r="R86" i="12"/>
  <c r="R79" i="12"/>
  <c r="R215" i="12"/>
  <c r="R197" i="12"/>
  <c r="R193" i="12"/>
  <c r="R178" i="12"/>
  <c r="R174" i="12"/>
  <c r="R161" i="12"/>
  <c r="R158" i="12"/>
  <c r="R149" i="12"/>
  <c r="R137" i="12"/>
  <c r="R125" i="12"/>
  <c r="P117" i="12"/>
  <c r="R109" i="12"/>
  <c r="R101" i="12"/>
  <c r="R93" i="12"/>
  <c r="R85" i="12"/>
  <c r="R207" i="12"/>
  <c r="R196" i="12"/>
  <c r="R192" i="12"/>
  <c r="R169" i="12"/>
  <c r="R152" i="12"/>
  <c r="R145" i="12"/>
  <c r="R140" i="12"/>
  <c r="R136" i="12"/>
  <c r="R124" i="12"/>
  <c r="R108" i="12"/>
  <c r="R100" i="12"/>
  <c r="R92" i="12"/>
  <c r="R84" i="12"/>
  <c r="X12" i="12"/>
  <c r="Z12" i="12" s="1"/>
  <c r="R210" i="12"/>
  <c r="R203" i="12"/>
  <c r="R199" i="12"/>
  <c r="R191" i="12"/>
  <c r="R183" i="12"/>
  <c r="R163" i="12"/>
  <c r="R160" i="12"/>
  <c r="R148" i="12"/>
  <c r="R135" i="12"/>
  <c r="R123" i="12"/>
  <c r="R115" i="12"/>
  <c r="R107" i="12"/>
  <c r="R99" i="12"/>
  <c r="R91" i="12"/>
  <c r="R83" i="12"/>
  <c r="R119" i="12"/>
  <c r="R186" i="12"/>
  <c r="R195" i="12"/>
  <c r="R166" i="12"/>
  <c r="R154" i="12"/>
  <c r="R130" i="12"/>
  <c r="R90" i="12"/>
  <c r="R82" i="12"/>
  <c r="R190" i="12"/>
  <c r="R98" i="12"/>
  <c r="R151" i="12"/>
  <c r="R142" i="12"/>
  <c r="R106" i="12"/>
  <c r="R182" i="12"/>
  <c r="R139" i="12"/>
  <c r="R134" i="12"/>
  <c r="R114" i="12"/>
  <c r="R202" i="12"/>
  <c r="R122" i="12"/>
  <c r="T27" i="7"/>
  <c r="Z18" i="7"/>
  <c r="L207" i="12"/>
  <c r="N207" i="12" s="1"/>
  <c r="L27" i="11"/>
  <c r="D31" i="11"/>
  <c r="P27" i="8"/>
  <c r="X18" i="8"/>
  <c r="H248" i="3"/>
  <c r="D248" i="3"/>
  <c r="L142" i="3"/>
  <c r="N142" i="3" s="1"/>
  <c r="P31" i="6"/>
  <c r="H26" i="6"/>
  <c r="N22" i="6"/>
  <c r="H36" i="52" l="1"/>
  <c r="N36" i="52" s="1"/>
  <c r="Z31" i="8"/>
  <c r="H31" i="17"/>
  <c r="L31" i="17" s="1"/>
  <c r="N27" i="17"/>
  <c r="H26" i="54"/>
  <c r="N22" i="54"/>
  <c r="L22" i="54"/>
  <c r="X23" i="36"/>
  <c r="Z23" i="36" s="1"/>
  <c r="P105" i="36"/>
  <c r="T31" i="40"/>
  <c r="Z27" i="40"/>
  <c r="H28" i="95"/>
  <c r="T213" i="12"/>
  <c r="T31" i="14"/>
  <c r="X31" i="14" s="1"/>
  <c r="Z27" i="14"/>
  <c r="T31" i="29"/>
  <c r="X31" i="29" s="1"/>
  <c r="Z27" i="29"/>
  <c r="T36" i="65"/>
  <c r="Z32" i="65"/>
  <c r="X32" i="65"/>
  <c r="X21" i="67"/>
  <c r="Z21" i="67" s="1"/>
  <c r="P48" i="67"/>
  <c r="H99" i="77"/>
  <c r="J95" i="77"/>
  <c r="Z27" i="98"/>
  <c r="T31" i="98"/>
  <c r="T82" i="94"/>
  <c r="V78" i="94"/>
  <c r="H83" i="85"/>
  <c r="J79" i="85"/>
  <c r="N27" i="16"/>
  <c r="H31" i="16"/>
  <c r="D36" i="65"/>
  <c r="L32" i="65"/>
  <c r="X27" i="21"/>
  <c r="T48" i="90"/>
  <c r="Z44" i="90"/>
  <c r="P31" i="20"/>
  <c r="X27" i="20"/>
  <c r="N27" i="31"/>
  <c r="H31" i="31"/>
  <c r="P31" i="46"/>
  <c r="X27" i="46"/>
  <c r="P79" i="85"/>
  <c r="X20" i="85"/>
  <c r="Z20" i="85" s="1"/>
  <c r="T75" i="91"/>
  <c r="D82" i="94"/>
  <c r="L78" i="94"/>
  <c r="F78" i="94"/>
  <c r="P73" i="70"/>
  <c r="X27" i="70"/>
  <c r="D36" i="28"/>
  <c r="D111" i="66"/>
  <c r="F107" i="66"/>
  <c r="D31" i="16"/>
  <c r="L27" i="16"/>
  <c r="X27" i="28"/>
  <c r="P31" i="28"/>
  <c r="T34" i="84"/>
  <c r="X17" i="84"/>
  <c r="Z17" i="84" s="1"/>
  <c r="X27" i="29"/>
  <c r="T36" i="17"/>
  <c r="Z36" i="17" s="1"/>
  <c r="Z31" i="17"/>
  <c r="L27" i="50"/>
  <c r="D31" i="50"/>
  <c r="T32" i="78"/>
  <c r="Z28" i="78"/>
  <c r="V28" i="78"/>
  <c r="H36" i="20"/>
  <c r="N36" i="20" s="1"/>
  <c r="N31" i="20"/>
  <c r="D81" i="24"/>
  <c r="L41" i="24"/>
  <c r="T61" i="56"/>
  <c r="T46" i="74"/>
  <c r="X30" i="39"/>
  <c r="P103" i="39"/>
  <c r="P31" i="11"/>
  <c r="X27" i="11"/>
  <c r="T31" i="13"/>
  <c r="Z27" i="13"/>
  <c r="L27" i="43"/>
  <c r="D31" i="43"/>
  <c r="N28" i="78"/>
  <c r="H32" i="78"/>
  <c r="H79" i="91"/>
  <c r="J75" i="91"/>
  <c r="X27" i="98"/>
  <c r="P31" i="98"/>
  <c r="D34" i="88"/>
  <c r="L30" i="88"/>
  <c r="T36" i="32"/>
  <c r="Z36" i="32" s="1"/>
  <c r="Z31" i="32"/>
  <c r="H105" i="36"/>
  <c r="P31" i="8"/>
  <c r="X27" i="8"/>
  <c r="Z27" i="35"/>
  <c r="T31" i="35"/>
  <c r="H36" i="37"/>
  <c r="N36" i="37" s="1"/>
  <c r="N31" i="37"/>
  <c r="N48" i="51"/>
  <c r="H92" i="51"/>
  <c r="N27" i="53"/>
  <c r="H31" i="53"/>
  <c r="L27" i="97"/>
  <c r="D31" i="97"/>
  <c r="P31" i="31"/>
  <c r="X27" i="31"/>
  <c r="H31" i="26"/>
  <c r="N27" i="26"/>
  <c r="R23" i="36"/>
  <c r="L27" i="40"/>
  <c r="D31" i="40"/>
  <c r="P69" i="58"/>
  <c r="T56" i="59"/>
  <c r="L27" i="52"/>
  <c r="D31" i="52"/>
  <c r="P41" i="84"/>
  <c r="N32" i="87"/>
  <c r="H36" i="87"/>
  <c r="L32" i="87"/>
  <c r="H66" i="57"/>
  <c r="P95" i="62"/>
  <c r="X91" i="62"/>
  <c r="H46" i="74"/>
  <c r="P76" i="79"/>
  <c r="X72" i="79"/>
  <c r="R72" i="79"/>
  <c r="D82" i="93"/>
  <c r="L78" i="93"/>
  <c r="F78" i="93"/>
  <c r="P35" i="78"/>
  <c r="X32" i="78"/>
  <c r="R32" i="78"/>
  <c r="T69" i="76"/>
  <c r="D79" i="85"/>
  <c r="L20" i="85"/>
  <c r="N20" i="85" s="1"/>
  <c r="X36" i="87"/>
  <c r="Z36" i="87" s="1"/>
  <c r="P39" i="87"/>
  <c r="P37" i="88"/>
  <c r="X34" i="88"/>
  <c r="L29" i="33"/>
  <c r="D76" i="33"/>
  <c r="N27" i="5"/>
  <c r="H31" i="5"/>
  <c r="P31" i="23"/>
  <c r="X27" i="23"/>
  <c r="P31" i="19"/>
  <c r="X27" i="19"/>
  <c r="P141" i="30"/>
  <c r="X75" i="30"/>
  <c r="D92" i="51"/>
  <c r="L48" i="51"/>
  <c r="F48" i="51"/>
  <c r="P34" i="55"/>
  <c r="X30" i="55"/>
  <c r="Z30" i="55" s="1"/>
  <c r="T47" i="60"/>
  <c r="Z43" i="60"/>
  <c r="H73" i="70"/>
  <c r="X21" i="91"/>
  <c r="Z21" i="91" s="1"/>
  <c r="H36" i="11"/>
  <c r="N36" i="11" s="1"/>
  <c r="N31" i="11"/>
  <c r="D31" i="13"/>
  <c r="L27" i="13"/>
  <c r="T31" i="22"/>
  <c r="X31" i="22" s="1"/>
  <c r="Z27" i="22"/>
  <c r="T31" i="49"/>
  <c r="X31" i="49" s="1"/>
  <c r="Z27" i="49"/>
  <c r="H42" i="63"/>
  <c r="N38" i="63"/>
  <c r="P44" i="89"/>
  <c r="P31" i="7"/>
  <c r="X27" i="7"/>
  <c r="Z27" i="19"/>
  <c r="T31" i="19"/>
  <c r="T109" i="36"/>
  <c r="V105" i="36"/>
  <c r="L27" i="53"/>
  <c r="D31" i="53"/>
  <c r="T76" i="64"/>
  <c r="Z27" i="20"/>
  <c r="T31" i="20"/>
  <c r="D36" i="11"/>
  <c r="L31" i="11"/>
  <c r="N27" i="14"/>
  <c r="H31" i="14"/>
  <c r="D31" i="22"/>
  <c r="L27" i="22"/>
  <c r="X27" i="47"/>
  <c r="P31" i="47"/>
  <c r="L29" i="75"/>
  <c r="N29" i="75" s="1"/>
  <c r="D33" i="75"/>
  <c r="F29" i="75"/>
  <c r="H33" i="75"/>
  <c r="J29" i="75"/>
  <c r="X20" i="76"/>
  <c r="Z20" i="76" s="1"/>
  <c r="P69" i="76"/>
  <c r="N27" i="99"/>
  <c r="H31" i="99"/>
  <c r="P51" i="90"/>
  <c r="L27" i="4"/>
  <c r="D31" i="4"/>
  <c r="H228" i="18"/>
  <c r="H107" i="27"/>
  <c r="X92" i="51"/>
  <c r="P96" i="51"/>
  <c r="R92" i="51"/>
  <c r="P76" i="64"/>
  <c r="X38" i="64"/>
  <c r="Z38" i="64" s="1"/>
  <c r="H107" i="66"/>
  <c r="N52" i="66"/>
  <c r="P92" i="71"/>
  <c r="X48" i="71"/>
  <c r="P28" i="95"/>
  <c r="X24" i="95"/>
  <c r="T31" i="31"/>
  <c r="Z27" i="31"/>
  <c r="Z27" i="4"/>
  <c r="T31" i="4"/>
  <c r="T31" i="23"/>
  <c r="Z27" i="23"/>
  <c r="T76" i="33"/>
  <c r="P36" i="37"/>
  <c r="X21" i="42"/>
  <c r="P93" i="42"/>
  <c r="N27" i="44"/>
  <c r="H31" i="44"/>
  <c r="H34" i="88"/>
  <c r="N30" i="88"/>
  <c r="V21" i="91"/>
  <c r="P62" i="96"/>
  <c r="X58" i="96"/>
  <c r="Z58" i="96" s="1"/>
  <c r="R58" i="96"/>
  <c r="T92" i="51"/>
  <c r="Z48" i="51"/>
  <c r="H76" i="33"/>
  <c r="N29" i="33"/>
  <c r="D88" i="45"/>
  <c r="L21" i="45"/>
  <c r="F21" i="45"/>
  <c r="T65" i="73"/>
  <c r="V61" i="73"/>
  <c r="P29" i="75"/>
  <c r="X23" i="75"/>
  <c r="Z23" i="75" s="1"/>
  <c r="N58" i="96"/>
  <c r="H62" i="96"/>
  <c r="J58" i="96"/>
  <c r="V21" i="93"/>
  <c r="P88" i="9"/>
  <c r="X84" i="9"/>
  <c r="Z84" i="9" s="1"/>
  <c r="P81" i="24"/>
  <c r="X41" i="24"/>
  <c r="L30" i="39"/>
  <c r="D103" i="39"/>
  <c r="N27" i="46"/>
  <c r="H31" i="46"/>
  <c r="H52" i="67"/>
  <c r="X41" i="77"/>
  <c r="P95" i="77"/>
  <c r="X75" i="91"/>
  <c r="P79" i="91"/>
  <c r="R75" i="91"/>
  <c r="N27" i="97"/>
  <c r="H31" i="97"/>
  <c r="D31" i="23"/>
  <c r="L27" i="23"/>
  <c r="H213" i="12"/>
  <c r="N117" i="12"/>
  <c r="L27" i="47"/>
  <c r="D31" i="47"/>
  <c r="D76" i="64"/>
  <c r="L38" i="64"/>
  <c r="F38" i="64"/>
  <c r="H76" i="79"/>
  <c r="N72" i="79"/>
  <c r="T141" i="30"/>
  <c r="Z75" i="30"/>
  <c r="L23" i="36"/>
  <c r="N23" i="36" s="1"/>
  <c r="D105" i="36"/>
  <c r="T63" i="57"/>
  <c r="Z59" i="57"/>
  <c r="H76" i="64"/>
  <c r="N38" i="64"/>
  <c r="L27" i="70"/>
  <c r="N27" i="70" s="1"/>
  <c r="D73" i="70"/>
  <c r="H127" i="69"/>
  <c r="H69" i="76"/>
  <c r="N20" i="76"/>
  <c r="D48" i="90"/>
  <c r="L44" i="90"/>
  <c r="T95" i="77"/>
  <c r="Z41" i="77"/>
  <c r="P232" i="18"/>
  <c r="R228" i="18"/>
  <c r="H31" i="6"/>
  <c r="N26" i="6"/>
  <c r="P31" i="43"/>
  <c r="X27" i="43"/>
  <c r="P46" i="74"/>
  <c r="X42" i="74"/>
  <c r="Z42" i="74" s="1"/>
  <c r="H42" i="83"/>
  <c r="N38" i="83"/>
  <c r="J52" i="27"/>
  <c r="H31" i="25"/>
  <c r="L31" i="25" s="1"/>
  <c r="N27" i="25"/>
  <c r="Z27" i="44"/>
  <c r="T31" i="44"/>
  <c r="D62" i="96"/>
  <c r="L58" i="96"/>
  <c r="F58" i="96"/>
  <c r="P31" i="13"/>
  <c r="X27" i="13"/>
  <c r="D228" i="18"/>
  <c r="L134" i="18"/>
  <c r="N134" i="18" s="1"/>
  <c r="D36" i="25"/>
  <c r="Z27" i="43"/>
  <c r="T31" i="43"/>
  <c r="L53" i="59"/>
  <c r="D56" i="59"/>
  <c r="P36" i="10"/>
  <c r="H31" i="29"/>
  <c r="N27" i="29"/>
  <c r="T52" i="67"/>
  <c r="H38" i="84"/>
  <c r="D31" i="92"/>
  <c r="D31" i="99"/>
  <c r="L27" i="99"/>
  <c r="N27" i="47"/>
  <c r="H31" i="47"/>
  <c r="H88" i="9"/>
  <c r="L84" i="9"/>
  <c r="N84" i="9" s="1"/>
  <c r="L27" i="5"/>
  <c r="D31" i="5"/>
  <c r="L27" i="21"/>
  <c r="N27" i="21" s="1"/>
  <c r="D80" i="21"/>
  <c r="T31" i="46"/>
  <c r="Z27" i="46"/>
  <c r="D61" i="56"/>
  <c r="L57" i="56"/>
  <c r="T33" i="75"/>
  <c r="V29" i="75"/>
  <c r="D42" i="83"/>
  <c r="L38" i="83"/>
  <c r="T41" i="89"/>
  <c r="Z37" i="89"/>
  <c r="N24" i="92"/>
  <c r="H28" i="92"/>
  <c r="F41" i="24"/>
  <c r="L48" i="67"/>
  <c r="N48" i="67" s="1"/>
  <c r="L70" i="81"/>
  <c r="N70" i="81" s="1"/>
  <c r="D74" i="81"/>
  <c r="T204" i="15"/>
  <c r="P36" i="22"/>
  <c r="J75" i="69"/>
  <c r="D76" i="79"/>
  <c r="L72" i="79"/>
  <c r="F72" i="79"/>
  <c r="Z22" i="6"/>
  <c r="T26" i="6"/>
  <c r="X22" i="6"/>
  <c r="D36" i="17"/>
  <c r="H80" i="21"/>
  <c r="H31" i="35"/>
  <c r="N27" i="35"/>
  <c r="N57" i="56"/>
  <c r="H61" i="56"/>
  <c r="T66" i="58"/>
  <c r="Z62" i="58"/>
  <c r="D47" i="60"/>
  <c r="L43" i="60"/>
  <c r="D55" i="67"/>
  <c r="L52" i="67"/>
  <c r="D73" i="76"/>
  <c r="L69" i="76"/>
  <c r="F69" i="76"/>
  <c r="T66" i="86"/>
  <c r="R30" i="39"/>
  <c r="P204" i="15"/>
  <c r="X112" i="15"/>
  <c r="Z112" i="15" s="1"/>
  <c r="V112" i="15"/>
  <c r="X27" i="22"/>
  <c r="H36" i="34"/>
  <c r="N36" i="34" s="1"/>
  <c r="N31" i="34"/>
  <c r="N21" i="45"/>
  <c r="H88" i="45"/>
  <c r="P31" i="52"/>
  <c r="X27" i="52"/>
  <c r="D42" i="63"/>
  <c r="L38" i="63"/>
  <c r="T34" i="88"/>
  <c r="Z30" i="88"/>
  <c r="L27" i="8"/>
  <c r="D31" i="8"/>
  <c r="D75" i="91"/>
  <c r="L21" i="91"/>
  <c r="N21" i="91" s="1"/>
  <c r="D31" i="14"/>
  <c r="L27" i="14"/>
  <c r="T36" i="34"/>
  <c r="Z36" i="34" s="1"/>
  <c r="Z31" i="34"/>
  <c r="T39" i="87"/>
  <c r="D41" i="89"/>
  <c r="L37" i="89"/>
  <c r="X27" i="35"/>
  <c r="P31" i="35"/>
  <c r="H81" i="24"/>
  <c r="N41" i="24"/>
  <c r="H31" i="19"/>
  <c r="N27" i="19"/>
  <c r="L27" i="19"/>
  <c r="D252" i="3"/>
  <c r="L248" i="3"/>
  <c r="F248" i="3"/>
  <c r="X117" i="12"/>
  <c r="Z117" i="12" s="1"/>
  <c r="P213" i="12"/>
  <c r="R117" i="12"/>
  <c r="D141" i="30"/>
  <c r="L75" i="30"/>
  <c r="T26" i="54"/>
  <c r="Z22" i="54"/>
  <c r="T107" i="27"/>
  <c r="N30" i="39"/>
  <c r="H103" i="39"/>
  <c r="D63" i="57"/>
  <c r="L59" i="57"/>
  <c r="N59" i="57" s="1"/>
  <c r="D32" i="78"/>
  <c r="L28" i="78"/>
  <c r="F28" i="78"/>
  <c r="P31" i="17"/>
  <c r="X27" i="17"/>
  <c r="P76" i="33"/>
  <c r="X29" i="33"/>
  <c r="Z29" i="33" s="1"/>
  <c r="D31" i="32"/>
  <c r="L27" i="32"/>
  <c r="P92" i="45"/>
  <c r="X88" i="45"/>
  <c r="R88" i="45"/>
  <c r="P36" i="99"/>
  <c r="H204" i="15"/>
  <c r="D31" i="31"/>
  <c r="L27" i="31"/>
  <c r="L52" i="27"/>
  <c r="N52" i="27" s="1"/>
  <c r="D107" i="27"/>
  <c r="D31" i="38"/>
  <c r="L27" i="38"/>
  <c r="Z27" i="52"/>
  <c r="T31" i="52"/>
  <c r="D36" i="80"/>
  <c r="L32" i="80"/>
  <c r="N32" i="80" s="1"/>
  <c r="P66" i="86"/>
  <c r="X62" i="86"/>
  <c r="Z62" i="86" s="1"/>
  <c r="T31" i="37"/>
  <c r="X31" i="37" s="1"/>
  <c r="Z27" i="37"/>
  <c r="J23" i="36"/>
  <c r="N27" i="41"/>
  <c r="H31" i="41"/>
  <c r="D93" i="42"/>
  <c r="L21" i="42"/>
  <c r="N21" i="42" s="1"/>
  <c r="T107" i="66"/>
  <c r="N32" i="65"/>
  <c r="H36" i="65"/>
  <c r="T36" i="80"/>
  <c r="F20" i="85"/>
  <c r="H41" i="89"/>
  <c r="N37" i="89"/>
  <c r="T48" i="61"/>
  <c r="H31" i="98"/>
  <c r="L31" i="98" s="1"/>
  <c r="N27" i="98"/>
  <c r="N27" i="13"/>
  <c r="H31" i="13"/>
  <c r="P36" i="49"/>
  <c r="P61" i="73"/>
  <c r="X19" i="73"/>
  <c r="Z19" i="73" s="1"/>
  <c r="H39" i="80"/>
  <c r="P74" i="81"/>
  <c r="X70" i="81"/>
  <c r="D31" i="37"/>
  <c r="L27" i="37"/>
  <c r="Z27" i="10"/>
  <c r="T31" i="10"/>
  <c r="X31" i="10" s="1"/>
  <c r="H141" i="30"/>
  <c r="N75" i="30"/>
  <c r="N27" i="23"/>
  <c r="H31" i="23"/>
  <c r="Z21" i="42"/>
  <c r="T93" i="42"/>
  <c r="X22" i="54"/>
  <c r="P127" i="69"/>
  <c r="X75" i="69"/>
  <c r="T248" i="3"/>
  <c r="X248" i="3" s="1"/>
  <c r="Z142" i="3"/>
  <c r="D31" i="26"/>
  <c r="L27" i="26"/>
  <c r="H31" i="28"/>
  <c r="L31" i="28" s="1"/>
  <c r="N27" i="28"/>
  <c r="J21" i="45"/>
  <c r="H34" i="55"/>
  <c r="N30" i="55"/>
  <c r="F21" i="91"/>
  <c r="P45" i="63"/>
  <c r="X42" i="63"/>
  <c r="Z42" i="63" s="1"/>
  <c r="D36" i="7"/>
  <c r="L27" i="20"/>
  <c r="D31" i="20"/>
  <c r="T103" i="39"/>
  <c r="Z30" i="39"/>
  <c r="T31" i="38"/>
  <c r="Z27" i="38"/>
  <c r="X27" i="38"/>
  <c r="D31" i="46"/>
  <c r="L27" i="46"/>
  <c r="H56" i="59"/>
  <c r="N53" i="59"/>
  <c r="H77" i="81"/>
  <c r="Z27" i="5"/>
  <c r="T31" i="5"/>
  <c r="X31" i="5" s="1"/>
  <c r="Z27" i="7"/>
  <c r="T31" i="7"/>
  <c r="T31" i="16"/>
  <c r="Z27" i="16"/>
  <c r="X27" i="16"/>
  <c r="P107" i="27"/>
  <c r="X52" i="27"/>
  <c r="Z52" i="27" s="1"/>
  <c r="P31" i="32"/>
  <c r="X27" i="32"/>
  <c r="X27" i="25"/>
  <c r="P31" i="25"/>
  <c r="L27" i="44"/>
  <c r="D31" i="44"/>
  <c r="D61" i="73"/>
  <c r="L19" i="73"/>
  <c r="N19" i="73" s="1"/>
  <c r="D39" i="82"/>
  <c r="L36" i="82"/>
  <c r="N36" i="82" s="1"/>
  <c r="T31" i="99"/>
  <c r="Z27" i="99"/>
  <c r="L27" i="10"/>
  <c r="D31" i="10"/>
  <c r="X27" i="44"/>
  <c r="P31" i="44"/>
  <c r="H47" i="60"/>
  <c r="N43" i="60"/>
  <c r="J58" i="48"/>
  <c r="H62" i="48"/>
  <c r="J52" i="66"/>
  <c r="Z48" i="71"/>
  <c r="T92" i="71"/>
  <c r="D127" i="69"/>
  <c r="L75" i="69"/>
  <c r="N75" i="69" s="1"/>
  <c r="D36" i="98"/>
  <c r="X27" i="99"/>
  <c r="X27" i="14"/>
  <c r="P50" i="60"/>
  <c r="X47" i="60"/>
  <c r="D37" i="55"/>
  <c r="L34" i="55"/>
  <c r="T127" i="69"/>
  <c r="Z75" i="69"/>
  <c r="L48" i="71"/>
  <c r="N48" i="71" s="1"/>
  <c r="D92" i="71"/>
  <c r="X32" i="80"/>
  <c r="Z32" i="80" s="1"/>
  <c r="P36" i="80"/>
  <c r="D62" i="48"/>
  <c r="L58" i="48"/>
  <c r="N58" i="48" s="1"/>
  <c r="F58" i="48"/>
  <c r="T88" i="45"/>
  <c r="Z21" i="45"/>
  <c r="N27" i="49"/>
  <c r="H31" i="49"/>
  <c r="T39" i="82"/>
  <c r="P28" i="92"/>
  <c r="X24" i="92"/>
  <c r="Z24" i="92" s="1"/>
  <c r="T62" i="96"/>
  <c r="V58" i="96"/>
  <c r="X27" i="5"/>
  <c r="P31" i="4"/>
  <c r="X27" i="4"/>
  <c r="T81" i="24"/>
  <c r="Z41" i="24"/>
  <c r="R41" i="24"/>
  <c r="D31" i="35"/>
  <c r="L27" i="35"/>
  <c r="Z27" i="41"/>
  <c r="T31" i="41"/>
  <c r="X27" i="41"/>
  <c r="R41" i="77"/>
  <c r="P36" i="82"/>
  <c r="X32" i="82"/>
  <c r="Z32" i="82" s="1"/>
  <c r="T28" i="95"/>
  <c r="Z24" i="95"/>
  <c r="N27" i="7"/>
  <c r="H31" i="7"/>
  <c r="L31" i="7" s="1"/>
  <c r="Z27" i="11"/>
  <c r="T31" i="11"/>
  <c r="P31" i="54"/>
  <c r="X26" i="54"/>
  <c r="Z27" i="50"/>
  <c r="T31" i="50"/>
  <c r="T73" i="70"/>
  <c r="Z27" i="70"/>
  <c r="Z70" i="81"/>
  <c r="T74" i="81"/>
  <c r="N98" i="62"/>
  <c r="D26" i="6"/>
  <c r="L22" i="6"/>
  <c r="R112" i="15"/>
  <c r="N27" i="32"/>
  <c r="H31" i="32"/>
  <c r="V38" i="64"/>
  <c r="P53" i="59"/>
  <c r="X49" i="59"/>
  <c r="Z49" i="59" s="1"/>
  <c r="V41" i="77"/>
  <c r="H36" i="43"/>
  <c r="N36" i="43" s="1"/>
  <c r="N31" i="43"/>
  <c r="H92" i="71"/>
  <c r="D204" i="15"/>
  <c r="L112" i="15"/>
  <c r="N112" i="15" s="1"/>
  <c r="H31" i="22"/>
  <c r="N27" i="22"/>
  <c r="Z27" i="53"/>
  <c r="T31" i="53"/>
  <c r="H252" i="3"/>
  <c r="N248" i="3"/>
  <c r="J248" i="3"/>
  <c r="V117" i="12"/>
  <c r="Z27" i="21"/>
  <c r="T80" i="21"/>
  <c r="X80" i="21" s="1"/>
  <c r="P66" i="57"/>
  <c r="X63" i="57"/>
  <c r="J48" i="51"/>
  <c r="T95" i="62"/>
  <c r="Z91" i="62"/>
  <c r="L34" i="84"/>
  <c r="N34" i="84" s="1"/>
  <c r="D38" i="84"/>
  <c r="X27" i="53"/>
  <c r="P31" i="53"/>
  <c r="F112" i="15"/>
  <c r="Z27" i="25"/>
  <c r="T31" i="25"/>
  <c r="H97" i="42"/>
  <c r="J93" i="42"/>
  <c r="H66" i="58"/>
  <c r="H48" i="90"/>
  <c r="N44" i="90"/>
  <c r="P84" i="21"/>
  <c r="R80" i="21"/>
  <c r="T83" i="85"/>
  <c r="V79" i="85"/>
  <c r="D217" i="12"/>
  <c r="L213" i="12"/>
  <c r="F213" i="12"/>
  <c r="P36" i="14"/>
  <c r="Z31" i="28"/>
  <c r="T36" i="28"/>
  <c r="Z36" i="28" s="1"/>
  <c r="N27" i="38"/>
  <c r="H31" i="38"/>
  <c r="T58" i="48"/>
  <c r="X58" i="48" s="1"/>
  <c r="Z17" i="48"/>
  <c r="P48" i="61"/>
  <c r="X44" i="61"/>
  <c r="Z44" i="61" s="1"/>
  <c r="H65" i="73"/>
  <c r="J61" i="73"/>
  <c r="N78" i="94"/>
  <c r="H82" i="94"/>
  <c r="J78" i="94"/>
  <c r="D95" i="77"/>
  <c r="L41" i="77"/>
  <c r="N41" i="77" s="1"/>
  <c r="P31" i="40"/>
  <c r="X27" i="40"/>
  <c r="P62" i="48"/>
  <c r="R58" i="48"/>
  <c r="N78" i="93"/>
  <c r="H82" i="93"/>
  <c r="J78" i="93"/>
  <c r="T78" i="93"/>
  <c r="X78" i="93" s="1"/>
  <c r="Z21" i="93"/>
  <c r="P31" i="97"/>
  <c r="X27" i="97"/>
  <c r="P36" i="5"/>
  <c r="P36" i="29"/>
  <c r="D31" i="29"/>
  <c r="L27" i="29"/>
  <c r="P31" i="50"/>
  <c r="X27" i="50"/>
  <c r="D66" i="58"/>
  <c r="L62" i="58"/>
  <c r="N62" i="58" s="1"/>
  <c r="T45" i="63"/>
  <c r="D46" i="74"/>
  <c r="L42" i="74"/>
  <c r="N42" i="74" s="1"/>
  <c r="P82" i="93"/>
  <c r="R78" i="93"/>
  <c r="X21" i="94"/>
  <c r="Z21" i="94" s="1"/>
  <c r="P78" i="94"/>
  <c r="Z27" i="97"/>
  <c r="T31" i="97"/>
  <c r="H36" i="40"/>
  <c r="N36" i="40" s="1"/>
  <c r="N31" i="40"/>
  <c r="P252" i="3"/>
  <c r="R248" i="3"/>
  <c r="Z134" i="18"/>
  <c r="T228" i="18"/>
  <c r="X228" i="18" s="1"/>
  <c r="V134" i="18"/>
  <c r="L27" i="49"/>
  <c r="D31" i="49"/>
  <c r="L66" i="86"/>
  <c r="N66" i="86" s="1"/>
  <c r="D69" i="86"/>
  <c r="L69" i="86" s="1"/>
  <c r="N69" i="86" s="1"/>
  <c r="T42" i="83"/>
  <c r="Z38" i="83"/>
  <c r="X38" i="83"/>
  <c r="P36" i="26"/>
  <c r="T31" i="26"/>
  <c r="X31" i="26" s="1"/>
  <c r="Z27" i="26"/>
  <c r="D31" i="41"/>
  <c r="L27" i="41"/>
  <c r="P61" i="56"/>
  <c r="X57" i="56"/>
  <c r="Z57" i="56" s="1"/>
  <c r="Z27" i="47"/>
  <c r="T31" i="47"/>
  <c r="P107" i="66"/>
  <c r="X52" i="66"/>
  <c r="Z52" i="66" s="1"/>
  <c r="T76" i="79"/>
  <c r="Z72" i="79"/>
  <c r="H39" i="82"/>
  <c r="T31" i="92"/>
  <c r="D28" i="95"/>
  <c r="L24" i="95"/>
  <c r="N24" i="95" s="1"/>
  <c r="L36" i="11" l="1"/>
  <c r="H36" i="17"/>
  <c r="N36" i="17" s="1"/>
  <c r="N31" i="17"/>
  <c r="T79" i="79"/>
  <c r="D69" i="58"/>
  <c r="L66" i="58"/>
  <c r="X53" i="59"/>
  <c r="Z53" i="59" s="1"/>
  <c r="P56" i="59"/>
  <c r="X56" i="59" s="1"/>
  <c r="T96" i="71"/>
  <c r="V92" i="71"/>
  <c r="P69" i="86"/>
  <c r="X66" i="86"/>
  <c r="P36" i="35"/>
  <c r="X31" i="35"/>
  <c r="H31" i="92"/>
  <c r="N31" i="92" s="1"/>
  <c r="N28" i="92"/>
  <c r="L28" i="92"/>
  <c r="D65" i="96"/>
  <c r="L62" i="96"/>
  <c r="F62" i="96"/>
  <c r="D92" i="45"/>
  <c r="L88" i="45"/>
  <c r="F88" i="45"/>
  <c r="H111" i="66"/>
  <c r="J107" i="66"/>
  <c r="T50" i="60"/>
  <c r="Z47" i="60"/>
  <c r="P79" i="79"/>
  <c r="X76" i="79"/>
  <c r="Z76" i="79" s="1"/>
  <c r="R76" i="79"/>
  <c r="H39" i="87"/>
  <c r="L36" i="87"/>
  <c r="N36" i="87" s="1"/>
  <c r="Z56" i="59"/>
  <c r="H36" i="26"/>
  <c r="N36" i="26" s="1"/>
  <c r="N31" i="26"/>
  <c r="P83" i="85"/>
  <c r="X79" i="85"/>
  <c r="Z79" i="85" s="1"/>
  <c r="R79" i="85"/>
  <c r="T51" i="90"/>
  <c r="T39" i="65"/>
  <c r="Z36" i="65"/>
  <c r="X36" i="65"/>
  <c r="D31" i="6"/>
  <c r="L31" i="6" s="1"/>
  <c r="L26" i="6"/>
  <c r="P39" i="80"/>
  <c r="X36" i="80"/>
  <c r="P36" i="44"/>
  <c r="X31" i="44"/>
  <c r="H85" i="94"/>
  <c r="J82" i="94"/>
  <c r="P51" i="61"/>
  <c r="X48" i="61"/>
  <c r="H100" i="42"/>
  <c r="J97" i="42"/>
  <c r="D208" i="15"/>
  <c r="L204" i="15"/>
  <c r="F204" i="15"/>
  <c r="P39" i="82"/>
  <c r="X39" i="82" s="1"/>
  <c r="X36" i="82"/>
  <c r="Z36" i="82" s="1"/>
  <c r="L31" i="35"/>
  <c r="D36" i="35"/>
  <c r="H36" i="49"/>
  <c r="N36" i="49" s="1"/>
  <c r="N31" i="49"/>
  <c r="X50" i="60"/>
  <c r="D65" i="73"/>
  <c r="L61" i="73"/>
  <c r="N61" i="73" s="1"/>
  <c r="P111" i="27"/>
  <c r="X107" i="27"/>
  <c r="R107" i="27"/>
  <c r="T36" i="38"/>
  <c r="Z31" i="38"/>
  <c r="X31" i="38"/>
  <c r="X45" i="63"/>
  <c r="L31" i="26"/>
  <c r="D36" i="26"/>
  <c r="H36" i="23"/>
  <c r="N36" i="23" s="1"/>
  <c r="N31" i="23"/>
  <c r="H36" i="13"/>
  <c r="N36" i="13" s="1"/>
  <c r="N31" i="13"/>
  <c r="D97" i="42"/>
  <c r="L93" i="42"/>
  <c r="N93" i="42" s="1"/>
  <c r="F93" i="42"/>
  <c r="P95" i="45"/>
  <c r="R92" i="45"/>
  <c r="D36" i="14"/>
  <c r="L31" i="14"/>
  <c r="H64" i="56"/>
  <c r="L31" i="92"/>
  <c r="T36" i="44"/>
  <c r="Z36" i="44" s="1"/>
  <c r="Z31" i="44"/>
  <c r="P49" i="74"/>
  <c r="X46" i="74"/>
  <c r="P235" i="18"/>
  <c r="R232" i="18"/>
  <c r="N69" i="76"/>
  <c r="H73" i="76"/>
  <c r="Z63" i="57"/>
  <c r="T66" i="57"/>
  <c r="P99" i="77"/>
  <c r="X95" i="77"/>
  <c r="R95" i="77"/>
  <c r="X62" i="96"/>
  <c r="P65" i="96"/>
  <c r="R62" i="96"/>
  <c r="P73" i="76"/>
  <c r="X69" i="76"/>
  <c r="R69" i="76"/>
  <c r="P36" i="47"/>
  <c r="X31" i="47"/>
  <c r="D36" i="13"/>
  <c r="L31" i="13"/>
  <c r="P36" i="19"/>
  <c r="X31" i="19"/>
  <c r="H82" i="91"/>
  <c r="J79" i="91"/>
  <c r="P36" i="11"/>
  <c r="X31" i="11"/>
  <c r="D85" i="24"/>
  <c r="L81" i="24"/>
  <c r="F81" i="24"/>
  <c r="P77" i="70"/>
  <c r="X73" i="70"/>
  <c r="R73" i="70"/>
  <c r="D36" i="37"/>
  <c r="L36" i="37" s="1"/>
  <c r="L31" i="37"/>
  <c r="H44" i="89"/>
  <c r="T69" i="58"/>
  <c r="X69" i="58" s="1"/>
  <c r="D31" i="95"/>
  <c r="L28" i="95"/>
  <c r="X107" i="66"/>
  <c r="P111" i="66"/>
  <c r="R107" i="66"/>
  <c r="T36" i="26"/>
  <c r="Z36" i="26" s="1"/>
  <c r="Z31" i="26"/>
  <c r="D36" i="49"/>
  <c r="L31" i="49"/>
  <c r="P85" i="93"/>
  <c r="R82" i="93"/>
  <c r="P36" i="50"/>
  <c r="X31" i="50"/>
  <c r="P36" i="97"/>
  <c r="X31" i="97"/>
  <c r="P87" i="21"/>
  <c r="R84" i="21"/>
  <c r="Z31" i="25"/>
  <c r="T36" i="25"/>
  <c r="Z36" i="25" s="1"/>
  <c r="T98" i="62"/>
  <c r="Z95" i="62"/>
  <c r="T77" i="81"/>
  <c r="T36" i="11"/>
  <c r="Z36" i="11" s="1"/>
  <c r="Z31" i="11"/>
  <c r="Z62" i="96"/>
  <c r="T65" i="96"/>
  <c r="V62" i="96"/>
  <c r="D96" i="71"/>
  <c r="L92" i="71"/>
  <c r="F92" i="71"/>
  <c r="D36" i="10"/>
  <c r="L36" i="10" s="1"/>
  <c r="L31" i="10"/>
  <c r="D36" i="44"/>
  <c r="L31" i="44"/>
  <c r="P77" i="81"/>
  <c r="X77" i="81" s="1"/>
  <c r="X74" i="81"/>
  <c r="Z74" i="81" s="1"/>
  <c r="H36" i="41"/>
  <c r="N36" i="41" s="1"/>
  <c r="N31" i="41"/>
  <c r="D39" i="80"/>
  <c r="L39" i="80" s="1"/>
  <c r="L36" i="80"/>
  <c r="N36" i="80" s="1"/>
  <c r="D36" i="31"/>
  <c r="L31" i="31"/>
  <c r="D35" i="78"/>
  <c r="L32" i="78"/>
  <c r="F32" i="78"/>
  <c r="T31" i="54"/>
  <c r="X31" i="54" s="1"/>
  <c r="Z26" i="54"/>
  <c r="D257" i="3"/>
  <c r="L252" i="3"/>
  <c r="N252" i="3" s="1"/>
  <c r="F252" i="3"/>
  <c r="D45" i="63"/>
  <c r="L42" i="63"/>
  <c r="D76" i="76"/>
  <c r="L73" i="76"/>
  <c r="F73" i="76"/>
  <c r="T31" i="6"/>
  <c r="Z26" i="6"/>
  <c r="X26" i="6"/>
  <c r="D64" i="56"/>
  <c r="L64" i="56" s="1"/>
  <c r="L61" i="56"/>
  <c r="N61" i="56" s="1"/>
  <c r="H41" i="84"/>
  <c r="L56" i="59"/>
  <c r="D109" i="36"/>
  <c r="L105" i="36"/>
  <c r="N105" i="36" s="1"/>
  <c r="F105" i="36"/>
  <c r="D80" i="64"/>
  <c r="L76" i="64"/>
  <c r="F76" i="64"/>
  <c r="P85" i="24"/>
  <c r="X81" i="24"/>
  <c r="R81" i="24"/>
  <c r="P33" i="75"/>
  <c r="X29" i="75"/>
  <c r="Z29" i="75" s="1"/>
  <c r="R29" i="75"/>
  <c r="H80" i="33"/>
  <c r="J76" i="33"/>
  <c r="T36" i="31"/>
  <c r="Z36" i="31" s="1"/>
  <c r="Z31" i="31"/>
  <c r="H232" i="18"/>
  <c r="J228" i="18"/>
  <c r="T36" i="20"/>
  <c r="Z36" i="20" s="1"/>
  <c r="Z31" i="20"/>
  <c r="T112" i="36"/>
  <c r="V109" i="36"/>
  <c r="N42" i="63"/>
  <c r="H45" i="63"/>
  <c r="N45" i="63" s="1"/>
  <c r="P37" i="55"/>
  <c r="X37" i="55" s="1"/>
  <c r="Z37" i="55" s="1"/>
  <c r="X34" i="55"/>
  <c r="Z34" i="55" s="1"/>
  <c r="X39" i="87"/>
  <c r="R35" i="78"/>
  <c r="H49" i="74"/>
  <c r="X66" i="58"/>
  <c r="Z66" i="58" s="1"/>
  <c r="P36" i="31"/>
  <c r="X36" i="31" s="1"/>
  <c r="X31" i="31"/>
  <c r="H35" i="78"/>
  <c r="N32" i="78"/>
  <c r="P107" i="39"/>
  <c r="X103" i="39"/>
  <c r="Z103" i="39" s="1"/>
  <c r="R103" i="39"/>
  <c r="D36" i="16"/>
  <c r="L31" i="16"/>
  <c r="X31" i="46"/>
  <c r="P36" i="46"/>
  <c r="H102" i="77"/>
  <c r="J99" i="77"/>
  <c r="T36" i="29"/>
  <c r="Z36" i="29" s="1"/>
  <c r="Z31" i="29"/>
  <c r="Z31" i="40"/>
  <c r="T36" i="40"/>
  <c r="Z36" i="40" s="1"/>
  <c r="H65" i="48"/>
  <c r="J62" i="48"/>
  <c r="T107" i="39"/>
  <c r="V103" i="39"/>
  <c r="T252" i="3"/>
  <c r="Z248" i="3"/>
  <c r="V248" i="3"/>
  <c r="T39" i="80"/>
  <c r="Z36" i="80"/>
  <c r="T36" i="52"/>
  <c r="Z36" i="52" s="1"/>
  <c r="Z31" i="52"/>
  <c r="D36" i="32"/>
  <c r="L31" i="32"/>
  <c r="D44" i="89"/>
  <c r="L44" i="89" s="1"/>
  <c r="L41" i="89"/>
  <c r="N41" i="89" s="1"/>
  <c r="D79" i="91"/>
  <c r="L75" i="91"/>
  <c r="N75" i="91" s="1"/>
  <c r="F75" i="91"/>
  <c r="T208" i="15"/>
  <c r="V204" i="15"/>
  <c r="T44" i="89"/>
  <c r="X44" i="89" s="1"/>
  <c r="H91" i="9"/>
  <c r="L88" i="9"/>
  <c r="N88" i="9" s="1"/>
  <c r="L228" i="18"/>
  <c r="N228" i="18" s="1"/>
  <c r="D232" i="18"/>
  <c r="F228" i="18"/>
  <c r="P36" i="43"/>
  <c r="X31" i="43"/>
  <c r="H131" i="69"/>
  <c r="J127" i="69"/>
  <c r="D36" i="47"/>
  <c r="L31" i="47"/>
  <c r="D36" i="23"/>
  <c r="L31" i="23"/>
  <c r="L36" i="34"/>
  <c r="T80" i="33"/>
  <c r="V76" i="33"/>
  <c r="P80" i="64"/>
  <c r="X76" i="64"/>
  <c r="R76" i="64"/>
  <c r="D36" i="4"/>
  <c r="L36" i="4" s="1"/>
  <c r="L31" i="4"/>
  <c r="T36" i="19"/>
  <c r="Z36" i="19" s="1"/>
  <c r="Z31" i="19"/>
  <c r="P36" i="23"/>
  <c r="X31" i="23"/>
  <c r="D36" i="97"/>
  <c r="L31" i="97"/>
  <c r="Z31" i="35"/>
  <c r="T36" i="35"/>
  <c r="Z36" i="35" s="1"/>
  <c r="H36" i="31"/>
  <c r="N36" i="31" s="1"/>
  <c r="N31" i="31"/>
  <c r="H86" i="85"/>
  <c r="J83" i="85"/>
  <c r="P109" i="36"/>
  <c r="X105" i="36"/>
  <c r="Z105" i="36" s="1"/>
  <c r="R105" i="36"/>
  <c r="P65" i="48"/>
  <c r="R62" i="48"/>
  <c r="H257" i="3"/>
  <c r="J252" i="3"/>
  <c r="T36" i="97"/>
  <c r="Z36" i="97" s="1"/>
  <c r="Z31" i="97"/>
  <c r="L31" i="29"/>
  <c r="D36" i="29"/>
  <c r="T82" i="93"/>
  <c r="Z78" i="93"/>
  <c r="V78" i="93"/>
  <c r="H68" i="73"/>
  <c r="J65" i="73"/>
  <c r="N31" i="38"/>
  <c r="H36" i="38"/>
  <c r="N36" i="38" s="1"/>
  <c r="D220" i="12"/>
  <c r="F217" i="12"/>
  <c r="H51" i="90"/>
  <c r="N48" i="90"/>
  <c r="T36" i="53"/>
  <c r="Z36" i="53" s="1"/>
  <c r="Z31" i="53"/>
  <c r="H36" i="32"/>
  <c r="N36" i="32" s="1"/>
  <c r="N31" i="32"/>
  <c r="H36" i="7"/>
  <c r="N36" i="7" s="1"/>
  <c r="N31" i="7"/>
  <c r="T85" i="24"/>
  <c r="Z81" i="24"/>
  <c r="V81" i="24"/>
  <c r="P31" i="92"/>
  <c r="X31" i="92" s="1"/>
  <c r="X28" i="92"/>
  <c r="Z28" i="92" s="1"/>
  <c r="T92" i="45"/>
  <c r="X92" i="45" s="1"/>
  <c r="Z88" i="45"/>
  <c r="V88" i="45"/>
  <c r="P36" i="25"/>
  <c r="X31" i="25"/>
  <c r="T36" i="16"/>
  <c r="Z31" i="16"/>
  <c r="X31" i="16"/>
  <c r="N56" i="59"/>
  <c r="D36" i="20"/>
  <c r="L36" i="20" s="1"/>
  <c r="L31" i="20"/>
  <c r="H37" i="55"/>
  <c r="N34" i="55"/>
  <c r="H145" i="30"/>
  <c r="J141" i="30"/>
  <c r="N39" i="80"/>
  <c r="H36" i="98"/>
  <c r="N36" i="98" s="1"/>
  <c r="N31" i="98"/>
  <c r="H39" i="65"/>
  <c r="H208" i="15"/>
  <c r="N204" i="15"/>
  <c r="J204" i="15"/>
  <c r="D66" i="57"/>
  <c r="L66" i="57" s="1"/>
  <c r="L63" i="57"/>
  <c r="N63" i="57" s="1"/>
  <c r="D145" i="30"/>
  <c r="L141" i="30"/>
  <c r="N141" i="30" s="1"/>
  <c r="F141" i="30"/>
  <c r="D36" i="8"/>
  <c r="L36" i="8" s="1"/>
  <c r="L31" i="8"/>
  <c r="X31" i="52"/>
  <c r="P36" i="52"/>
  <c r="P208" i="15"/>
  <c r="X204" i="15"/>
  <c r="Z204" i="15" s="1"/>
  <c r="R204" i="15"/>
  <c r="L55" i="67"/>
  <c r="H36" i="35"/>
  <c r="N36" i="35" s="1"/>
  <c r="N31" i="35"/>
  <c r="D77" i="81"/>
  <c r="L77" i="81" s="1"/>
  <c r="N77" i="81" s="1"/>
  <c r="L74" i="81"/>
  <c r="N74" i="81" s="1"/>
  <c r="T36" i="46"/>
  <c r="Z36" i="46" s="1"/>
  <c r="Z31" i="46"/>
  <c r="N31" i="47"/>
  <c r="H36" i="47"/>
  <c r="N36" i="47" s="1"/>
  <c r="H36" i="25"/>
  <c r="N36" i="25" s="1"/>
  <c r="N31" i="25"/>
  <c r="T99" i="77"/>
  <c r="Z95" i="77"/>
  <c r="V95" i="77"/>
  <c r="D77" i="70"/>
  <c r="L73" i="70"/>
  <c r="F73" i="70"/>
  <c r="N31" i="97"/>
  <c r="H36" i="97"/>
  <c r="N36" i="97" s="1"/>
  <c r="N52" i="67"/>
  <c r="H55" i="67"/>
  <c r="N55" i="67" s="1"/>
  <c r="P91" i="9"/>
  <c r="X91" i="9" s="1"/>
  <c r="Z91" i="9" s="1"/>
  <c r="X88" i="9"/>
  <c r="Z88" i="9" s="1"/>
  <c r="H37" i="88"/>
  <c r="X28" i="95"/>
  <c r="P31" i="95"/>
  <c r="D36" i="22"/>
  <c r="L31" i="22"/>
  <c r="T36" i="49"/>
  <c r="Z36" i="49" s="1"/>
  <c r="Z31" i="49"/>
  <c r="N31" i="5"/>
  <c r="H36" i="5"/>
  <c r="N36" i="5" s="1"/>
  <c r="P98" i="62"/>
  <c r="X98" i="62" s="1"/>
  <c r="X95" i="62"/>
  <c r="D36" i="40"/>
  <c r="L36" i="40" s="1"/>
  <c r="L31" i="40"/>
  <c r="D37" i="88"/>
  <c r="L37" i="88" s="1"/>
  <c r="L34" i="88"/>
  <c r="N34" i="88" s="1"/>
  <c r="D36" i="43"/>
  <c r="L36" i="43" s="1"/>
  <c r="L31" i="43"/>
  <c r="L107" i="66"/>
  <c r="N107" i="66" s="1"/>
  <c r="D85" i="94"/>
  <c r="L82" i="94"/>
  <c r="N82" i="94" s="1"/>
  <c r="F82" i="94"/>
  <c r="P52" i="67"/>
  <c r="X48" i="67"/>
  <c r="Z48" i="67" s="1"/>
  <c r="T36" i="14"/>
  <c r="Z36" i="14" s="1"/>
  <c r="Z31" i="14"/>
  <c r="D36" i="41"/>
  <c r="L31" i="41"/>
  <c r="T62" i="48"/>
  <c r="X62" i="48" s="1"/>
  <c r="Z58" i="48"/>
  <c r="V58" i="48"/>
  <c r="H96" i="71"/>
  <c r="N92" i="71"/>
  <c r="J92" i="71"/>
  <c r="Z31" i="92"/>
  <c r="D49" i="74"/>
  <c r="L46" i="74"/>
  <c r="N46" i="74" s="1"/>
  <c r="T232" i="18"/>
  <c r="Z228" i="18"/>
  <c r="V228" i="18"/>
  <c r="X31" i="40"/>
  <c r="P36" i="40"/>
  <c r="P36" i="53"/>
  <c r="X31" i="53"/>
  <c r="X66" i="57"/>
  <c r="T77" i="70"/>
  <c r="Z73" i="70"/>
  <c r="V73" i="70"/>
  <c r="T131" i="69"/>
  <c r="V127" i="69"/>
  <c r="T36" i="99"/>
  <c r="Z36" i="99" s="1"/>
  <c r="Z31" i="99"/>
  <c r="T36" i="7"/>
  <c r="Z36" i="7" s="1"/>
  <c r="Z31" i="7"/>
  <c r="P131" i="69"/>
  <c r="X127" i="69"/>
  <c r="Z127" i="69" s="1"/>
  <c r="R127" i="69"/>
  <c r="T36" i="10"/>
  <c r="Z36" i="10" s="1"/>
  <c r="Z31" i="10"/>
  <c r="T51" i="61"/>
  <c r="Z48" i="61"/>
  <c r="X31" i="99"/>
  <c r="P80" i="33"/>
  <c r="X76" i="33"/>
  <c r="Z76" i="33" s="1"/>
  <c r="R76" i="33"/>
  <c r="H107" i="39"/>
  <c r="J103" i="39"/>
  <c r="H36" i="19"/>
  <c r="N31" i="19"/>
  <c r="L31" i="19"/>
  <c r="Z39" i="87"/>
  <c r="H92" i="45"/>
  <c r="N88" i="45"/>
  <c r="J88" i="45"/>
  <c r="L42" i="83"/>
  <c r="D45" i="83"/>
  <c r="L45" i="83" s="1"/>
  <c r="D84" i="21"/>
  <c r="L80" i="21"/>
  <c r="F80" i="21"/>
  <c r="T55" i="67"/>
  <c r="P36" i="13"/>
  <c r="X31" i="13"/>
  <c r="T145" i="30"/>
  <c r="V141" i="30"/>
  <c r="H36" i="46"/>
  <c r="N36" i="46" s="1"/>
  <c r="N31" i="46"/>
  <c r="T68" i="73"/>
  <c r="V65" i="73"/>
  <c r="T96" i="51"/>
  <c r="Z92" i="51"/>
  <c r="V92" i="51"/>
  <c r="N31" i="44"/>
  <c r="H36" i="44"/>
  <c r="N36" i="44" s="1"/>
  <c r="P99" i="51"/>
  <c r="X96" i="51"/>
  <c r="R96" i="51"/>
  <c r="X48" i="90"/>
  <c r="Z48" i="90" s="1"/>
  <c r="H36" i="75"/>
  <c r="J33" i="75"/>
  <c r="H36" i="14"/>
  <c r="N36" i="14" s="1"/>
  <c r="N31" i="14"/>
  <c r="T80" i="64"/>
  <c r="Z76" i="64"/>
  <c r="V76" i="64"/>
  <c r="X36" i="34"/>
  <c r="H77" i="70"/>
  <c r="N73" i="70"/>
  <c r="J73" i="70"/>
  <c r="D96" i="51"/>
  <c r="L92" i="51"/>
  <c r="N92" i="51" s="1"/>
  <c r="F92" i="51"/>
  <c r="L79" i="85"/>
  <c r="N79" i="85" s="1"/>
  <c r="D83" i="85"/>
  <c r="F79" i="85"/>
  <c r="D85" i="93"/>
  <c r="L82" i="93"/>
  <c r="F82" i="93"/>
  <c r="N31" i="53"/>
  <c r="H36" i="53"/>
  <c r="N36" i="53" s="1"/>
  <c r="P36" i="98"/>
  <c r="X31" i="98"/>
  <c r="Z46" i="74"/>
  <c r="T49" i="74"/>
  <c r="T38" i="84"/>
  <c r="V34" i="84"/>
  <c r="X34" i="84"/>
  <c r="Z34" i="84" s="1"/>
  <c r="D114" i="66"/>
  <c r="L111" i="66"/>
  <c r="F111" i="66"/>
  <c r="D39" i="65"/>
  <c r="L39" i="65" s="1"/>
  <c r="L36" i="65"/>
  <c r="N36" i="65" s="1"/>
  <c r="T36" i="47"/>
  <c r="Z36" i="47" s="1"/>
  <c r="Z31" i="47"/>
  <c r="X61" i="56"/>
  <c r="P64" i="56"/>
  <c r="Z45" i="63"/>
  <c r="P36" i="4"/>
  <c r="X31" i="4"/>
  <c r="Z39" i="82"/>
  <c r="D36" i="46"/>
  <c r="L31" i="46"/>
  <c r="P65" i="73"/>
  <c r="X61" i="73"/>
  <c r="Z61" i="73" s="1"/>
  <c r="T36" i="37"/>
  <c r="Z36" i="37" s="1"/>
  <c r="Z31" i="37"/>
  <c r="D36" i="38"/>
  <c r="L31" i="38"/>
  <c r="P217" i="12"/>
  <c r="X213" i="12"/>
  <c r="R213" i="12"/>
  <c r="T69" i="86"/>
  <c r="Z66" i="86"/>
  <c r="D50" i="60"/>
  <c r="L47" i="60"/>
  <c r="N80" i="21"/>
  <c r="H84" i="21"/>
  <c r="J80" i="21"/>
  <c r="D79" i="79"/>
  <c r="L76" i="79"/>
  <c r="F76" i="79"/>
  <c r="T36" i="43"/>
  <c r="Z36" i="43" s="1"/>
  <c r="Z31" i="43"/>
  <c r="N31" i="6"/>
  <c r="D51" i="90"/>
  <c r="L51" i="90" s="1"/>
  <c r="L48" i="90"/>
  <c r="T36" i="23"/>
  <c r="Z36" i="23" s="1"/>
  <c r="Z31" i="23"/>
  <c r="P96" i="71"/>
  <c r="X92" i="71"/>
  <c r="Z92" i="71" s="1"/>
  <c r="R92" i="71"/>
  <c r="X51" i="90"/>
  <c r="D36" i="53"/>
  <c r="L31" i="53"/>
  <c r="P36" i="7"/>
  <c r="X31" i="7"/>
  <c r="L76" i="33"/>
  <c r="N76" i="33" s="1"/>
  <c r="D80" i="33"/>
  <c r="F76" i="33"/>
  <c r="T73" i="76"/>
  <c r="Z69" i="76"/>
  <c r="N66" i="57"/>
  <c r="D36" i="52"/>
  <c r="L36" i="52" s="1"/>
  <c r="L31" i="52"/>
  <c r="P36" i="8"/>
  <c r="X36" i="8" s="1"/>
  <c r="X31" i="8"/>
  <c r="T35" i="78"/>
  <c r="Z32" i="78"/>
  <c r="V32" i="78"/>
  <c r="T79" i="91"/>
  <c r="Z75" i="91"/>
  <c r="V75" i="91"/>
  <c r="P36" i="20"/>
  <c r="X31" i="20"/>
  <c r="N31" i="16"/>
  <c r="H36" i="16"/>
  <c r="N36" i="16" s="1"/>
  <c r="T85" i="94"/>
  <c r="V82" i="94"/>
  <c r="T217" i="12"/>
  <c r="Z213" i="12"/>
  <c r="V213" i="12"/>
  <c r="P257" i="3"/>
  <c r="X252" i="3"/>
  <c r="R252" i="3"/>
  <c r="P82" i="94"/>
  <c r="X78" i="94"/>
  <c r="Z78" i="94" s="1"/>
  <c r="R78" i="94"/>
  <c r="H85" i="93"/>
  <c r="N82" i="93"/>
  <c r="J82" i="93"/>
  <c r="N66" i="58"/>
  <c r="H69" i="58"/>
  <c r="T84" i="21"/>
  <c r="X84" i="21" s="1"/>
  <c r="Z80" i="21"/>
  <c r="V80" i="21"/>
  <c r="T36" i="50"/>
  <c r="Z36" i="50" s="1"/>
  <c r="Z31" i="50"/>
  <c r="T36" i="41"/>
  <c r="Z31" i="41"/>
  <c r="X31" i="41"/>
  <c r="T45" i="83"/>
  <c r="Z42" i="83"/>
  <c r="X42" i="83"/>
  <c r="D99" i="77"/>
  <c r="L95" i="77"/>
  <c r="N95" i="77" s="1"/>
  <c r="F95" i="77"/>
  <c r="T86" i="85"/>
  <c r="V83" i="85"/>
  <c r="L38" i="84"/>
  <c r="N38" i="84" s="1"/>
  <c r="D41" i="84"/>
  <c r="L41" i="84" s="1"/>
  <c r="H36" i="22"/>
  <c r="N36" i="22" s="1"/>
  <c r="N31" i="22"/>
  <c r="T31" i="95"/>
  <c r="Z28" i="95"/>
  <c r="D65" i="48"/>
  <c r="L62" i="48"/>
  <c r="N62" i="48" s="1"/>
  <c r="F62" i="48"/>
  <c r="L37" i="55"/>
  <c r="L127" i="69"/>
  <c r="N127" i="69" s="1"/>
  <c r="D131" i="69"/>
  <c r="F127" i="69"/>
  <c r="H50" i="60"/>
  <c r="N47" i="60"/>
  <c r="L39" i="82"/>
  <c r="N39" i="82" s="1"/>
  <c r="X31" i="32"/>
  <c r="P36" i="32"/>
  <c r="X36" i="32" s="1"/>
  <c r="T36" i="5"/>
  <c r="Z36" i="5" s="1"/>
  <c r="Z31" i="5"/>
  <c r="H36" i="28"/>
  <c r="N36" i="28" s="1"/>
  <c r="N31" i="28"/>
  <c r="T97" i="42"/>
  <c r="V93" i="42"/>
  <c r="T111" i="66"/>
  <c r="Z107" i="66"/>
  <c r="V107" i="66"/>
  <c r="D111" i="27"/>
  <c r="L107" i="27"/>
  <c r="F107" i="27"/>
  <c r="P36" i="17"/>
  <c r="X36" i="17" s="1"/>
  <c r="X31" i="17"/>
  <c r="T111" i="27"/>
  <c r="Z107" i="27"/>
  <c r="V107" i="27"/>
  <c r="H85" i="24"/>
  <c r="N81" i="24"/>
  <c r="J81" i="24"/>
  <c r="Z34" i="88"/>
  <c r="T37" i="88"/>
  <c r="T36" i="75"/>
  <c r="V33" i="75"/>
  <c r="D36" i="5"/>
  <c r="L31" i="5"/>
  <c r="D36" i="99"/>
  <c r="L31" i="99"/>
  <c r="H36" i="29"/>
  <c r="N36" i="29" s="1"/>
  <c r="N31" i="29"/>
  <c r="H45" i="83"/>
  <c r="N42" i="83"/>
  <c r="N76" i="64"/>
  <c r="H80" i="64"/>
  <c r="J76" i="64"/>
  <c r="H79" i="79"/>
  <c r="N76" i="79"/>
  <c r="H217" i="12"/>
  <c r="N213" i="12"/>
  <c r="J213" i="12"/>
  <c r="P82" i="91"/>
  <c r="X79" i="91"/>
  <c r="R79" i="91"/>
  <c r="D107" i="39"/>
  <c r="L103" i="39"/>
  <c r="N103" i="39" s="1"/>
  <c r="F103" i="39"/>
  <c r="N62" i="96"/>
  <c r="H65" i="96"/>
  <c r="J62" i="96"/>
  <c r="P97" i="42"/>
  <c r="X93" i="42"/>
  <c r="Z93" i="42" s="1"/>
  <c r="R93" i="42"/>
  <c r="T36" i="4"/>
  <c r="Z36" i="4" s="1"/>
  <c r="Z31" i="4"/>
  <c r="H111" i="27"/>
  <c r="N107" i="27"/>
  <c r="J107" i="27"/>
  <c r="N31" i="99"/>
  <c r="H36" i="99"/>
  <c r="N36" i="99" s="1"/>
  <c r="D36" i="75"/>
  <c r="L33" i="75"/>
  <c r="N33" i="75" s="1"/>
  <c r="F33" i="75"/>
  <c r="X41" i="89"/>
  <c r="Z41" i="89" s="1"/>
  <c r="T36" i="22"/>
  <c r="Z36" i="22" s="1"/>
  <c r="Z31" i="22"/>
  <c r="P145" i="30"/>
  <c r="X141" i="30"/>
  <c r="Z141" i="30" s="1"/>
  <c r="R141" i="30"/>
  <c r="H96" i="51"/>
  <c r="J92" i="51"/>
  <c r="H109" i="36"/>
  <c r="J105" i="36"/>
  <c r="T36" i="13"/>
  <c r="Z36" i="13" s="1"/>
  <c r="Z31" i="13"/>
  <c r="T64" i="56"/>
  <c r="Z61" i="56"/>
  <c r="D36" i="50"/>
  <c r="L36" i="50" s="1"/>
  <c r="L31" i="50"/>
  <c r="P36" i="28"/>
  <c r="X36" i="28" s="1"/>
  <c r="X31" i="28"/>
  <c r="Z31" i="98"/>
  <c r="T36" i="98"/>
  <c r="Z36" i="98" s="1"/>
  <c r="H31" i="95"/>
  <c r="N28" i="95"/>
  <c r="N26" i="54"/>
  <c r="H31" i="54"/>
  <c r="L26" i="54"/>
  <c r="X36" i="26" l="1"/>
  <c r="X36" i="53"/>
  <c r="X36" i="25"/>
  <c r="L36" i="98"/>
  <c r="X36" i="20"/>
  <c r="L36" i="46"/>
  <c r="L36" i="23"/>
  <c r="L36" i="49"/>
  <c r="L36" i="28"/>
  <c r="L36" i="5"/>
  <c r="X36" i="29"/>
  <c r="L36" i="53"/>
  <c r="L36" i="13"/>
  <c r="L36" i="26"/>
  <c r="L36" i="99"/>
  <c r="L36" i="17"/>
  <c r="L36" i="7"/>
  <c r="X36" i="40"/>
  <c r="L36" i="41"/>
  <c r="L36" i="38"/>
  <c r="X36" i="23"/>
  <c r="X36" i="11"/>
  <c r="X36" i="4"/>
  <c r="X36" i="99"/>
  <c r="T100" i="42"/>
  <c r="V97" i="42"/>
  <c r="N36" i="19"/>
  <c r="L36" i="19"/>
  <c r="H99" i="71"/>
  <c r="J96" i="71"/>
  <c r="L36" i="31"/>
  <c r="H220" i="12"/>
  <c r="J217" i="12"/>
  <c r="V36" i="75"/>
  <c r="T114" i="27"/>
  <c r="V111" i="27"/>
  <c r="T114" i="66"/>
  <c r="V111" i="66"/>
  <c r="T76" i="76"/>
  <c r="D86" i="85"/>
  <c r="L83" i="85"/>
  <c r="N83" i="85" s="1"/>
  <c r="F83" i="85"/>
  <c r="J36" i="75"/>
  <c r="T134" i="69"/>
  <c r="V131" i="69"/>
  <c r="H211" i="15"/>
  <c r="J208" i="15"/>
  <c r="Z36" i="16"/>
  <c r="X36" i="16"/>
  <c r="L36" i="29"/>
  <c r="R65" i="48"/>
  <c r="T257" i="3"/>
  <c r="Z252" i="3"/>
  <c r="V252" i="3"/>
  <c r="H83" i="33"/>
  <c r="J80" i="33"/>
  <c r="Z77" i="81"/>
  <c r="R85" i="93"/>
  <c r="X65" i="96"/>
  <c r="R65" i="96"/>
  <c r="L36" i="14"/>
  <c r="Z36" i="38"/>
  <c r="X36" i="38"/>
  <c r="D211" i="15"/>
  <c r="L208" i="15"/>
  <c r="N208" i="15" s="1"/>
  <c r="F208" i="15"/>
  <c r="X36" i="5"/>
  <c r="P86" i="85"/>
  <c r="X83" i="85"/>
  <c r="Z83" i="85" s="1"/>
  <c r="R83" i="85"/>
  <c r="T110" i="39"/>
  <c r="V107" i="39"/>
  <c r="H99" i="51"/>
  <c r="J96" i="51"/>
  <c r="D102" i="77"/>
  <c r="L99" i="77"/>
  <c r="N99" i="77" s="1"/>
  <c r="F99" i="77"/>
  <c r="J85" i="93"/>
  <c r="R257" i="3"/>
  <c r="V35" i="78"/>
  <c r="T99" i="51"/>
  <c r="Z96" i="51"/>
  <c r="V96" i="51"/>
  <c r="T148" i="30"/>
  <c r="V145" i="30"/>
  <c r="P83" i="33"/>
  <c r="X80" i="33"/>
  <c r="R80" i="33"/>
  <c r="P134" i="69"/>
  <c r="X131" i="69"/>
  <c r="Z131" i="69" s="1"/>
  <c r="R131" i="69"/>
  <c r="L232" i="18"/>
  <c r="D235" i="18"/>
  <c r="F232" i="18"/>
  <c r="L36" i="32"/>
  <c r="L36" i="16"/>
  <c r="D83" i="64"/>
  <c r="L80" i="64"/>
  <c r="F80" i="64"/>
  <c r="L45" i="63"/>
  <c r="L35" i="78"/>
  <c r="F35" i="78"/>
  <c r="D99" i="71"/>
  <c r="L96" i="71"/>
  <c r="N96" i="71" s="1"/>
  <c r="F96" i="71"/>
  <c r="R87" i="21"/>
  <c r="L31" i="95"/>
  <c r="N31" i="95" s="1"/>
  <c r="H76" i="76"/>
  <c r="N73" i="76"/>
  <c r="L36" i="35"/>
  <c r="J85" i="94"/>
  <c r="X79" i="79"/>
  <c r="R79" i="79"/>
  <c r="T99" i="71"/>
  <c r="V96" i="71"/>
  <c r="D148" i="30"/>
  <c r="L145" i="30"/>
  <c r="F145" i="30"/>
  <c r="L36" i="75"/>
  <c r="N36" i="75" s="1"/>
  <c r="F36" i="75"/>
  <c r="D110" i="39"/>
  <c r="L107" i="39"/>
  <c r="F107" i="39"/>
  <c r="D83" i="33"/>
  <c r="L80" i="33"/>
  <c r="N80" i="33" s="1"/>
  <c r="F80" i="33"/>
  <c r="L50" i="60"/>
  <c r="D87" i="21"/>
  <c r="L84" i="21"/>
  <c r="F84" i="21"/>
  <c r="N37" i="88"/>
  <c r="N39" i="65"/>
  <c r="N37" i="55"/>
  <c r="T88" i="24"/>
  <c r="V85" i="24"/>
  <c r="P83" i="64"/>
  <c r="X80" i="64"/>
  <c r="R80" i="64"/>
  <c r="L36" i="47"/>
  <c r="T211" i="15"/>
  <c r="V208" i="15"/>
  <c r="H235" i="18"/>
  <c r="N232" i="18"/>
  <c r="J232" i="18"/>
  <c r="X36" i="10"/>
  <c r="J100" i="42"/>
  <c r="D95" i="45"/>
  <c r="L92" i="45"/>
  <c r="F92" i="45"/>
  <c r="Z69" i="58"/>
  <c r="J82" i="91"/>
  <c r="X36" i="47"/>
  <c r="R95" i="45"/>
  <c r="P114" i="27"/>
  <c r="X111" i="27"/>
  <c r="Z111" i="27" s="1"/>
  <c r="R111" i="27"/>
  <c r="X36" i="44"/>
  <c r="Z39" i="65"/>
  <c r="X39" i="65"/>
  <c r="Z50" i="60"/>
  <c r="X36" i="35"/>
  <c r="X36" i="13"/>
  <c r="P36" i="75"/>
  <c r="X33" i="75"/>
  <c r="Z33" i="75" s="1"/>
  <c r="R33" i="75"/>
  <c r="P100" i="42"/>
  <c r="X97" i="42"/>
  <c r="Z97" i="42" s="1"/>
  <c r="R97" i="42"/>
  <c r="H83" i="64"/>
  <c r="N80" i="64"/>
  <c r="J80" i="64"/>
  <c r="L65" i="48"/>
  <c r="F65" i="48"/>
  <c r="Z45" i="83"/>
  <c r="X45" i="83"/>
  <c r="T87" i="21"/>
  <c r="Z84" i="21"/>
  <c r="V84" i="21"/>
  <c r="T220" i="12"/>
  <c r="V217" i="12"/>
  <c r="D99" i="51"/>
  <c r="L96" i="51"/>
  <c r="N96" i="51" s="1"/>
  <c r="F96" i="51"/>
  <c r="X99" i="51"/>
  <c r="R99" i="51"/>
  <c r="V68" i="73"/>
  <c r="T80" i="70"/>
  <c r="V77" i="70"/>
  <c r="T235" i="18"/>
  <c r="V232" i="18"/>
  <c r="P55" i="67"/>
  <c r="X55" i="67" s="1"/>
  <c r="X52" i="67"/>
  <c r="Z52" i="67" s="1"/>
  <c r="P211" i="15"/>
  <c r="X208" i="15"/>
  <c r="Z208" i="15" s="1"/>
  <c r="R208" i="15"/>
  <c r="N51" i="90"/>
  <c r="J68" i="73"/>
  <c r="X109" i="36"/>
  <c r="Z109" i="36" s="1"/>
  <c r="P112" i="36"/>
  <c r="R109" i="36"/>
  <c r="Z80" i="33"/>
  <c r="T83" i="33"/>
  <c r="V80" i="33"/>
  <c r="X107" i="39"/>
  <c r="Z107" i="39" s="1"/>
  <c r="P110" i="39"/>
  <c r="R107" i="39"/>
  <c r="D112" i="36"/>
  <c r="L109" i="36"/>
  <c r="F109" i="36"/>
  <c r="Z31" i="6"/>
  <c r="X31" i="6"/>
  <c r="L257" i="3"/>
  <c r="F257" i="3"/>
  <c r="L36" i="44"/>
  <c r="Z98" i="62"/>
  <c r="P80" i="70"/>
  <c r="X77" i="70"/>
  <c r="Z77" i="70" s="1"/>
  <c r="R77" i="70"/>
  <c r="P102" i="77"/>
  <c r="X99" i="77"/>
  <c r="R99" i="77"/>
  <c r="X232" i="18"/>
  <c r="Z232" i="18" s="1"/>
  <c r="X36" i="22"/>
  <c r="X36" i="14"/>
  <c r="T83" i="64"/>
  <c r="Z80" i="64"/>
  <c r="V80" i="64"/>
  <c r="L77" i="70"/>
  <c r="D80" i="70"/>
  <c r="F77" i="70"/>
  <c r="X36" i="97"/>
  <c r="N31" i="54"/>
  <c r="L31" i="54"/>
  <c r="N109" i="36"/>
  <c r="H112" i="36"/>
  <c r="J109" i="36"/>
  <c r="R82" i="91"/>
  <c r="H88" i="24"/>
  <c r="J85" i="24"/>
  <c r="L111" i="27"/>
  <c r="D114" i="27"/>
  <c r="F111" i="27"/>
  <c r="N50" i="60"/>
  <c r="P85" i="94"/>
  <c r="X82" i="94"/>
  <c r="Z82" i="94" s="1"/>
  <c r="R82" i="94"/>
  <c r="X36" i="7"/>
  <c r="L79" i="79"/>
  <c r="N79" i="79" s="1"/>
  <c r="F79" i="79"/>
  <c r="N107" i="39"/>
  <c r="H110" i="39"/>
  <c r="J107" i="39"/>
  <c r="X36" i="52"/>
  <c r="T95" i="45"/>
  <c r="X95" i="45" s="1"/>
  <c r="Z92" i="45"/>
  <c r="V92" i="45"/>
  <c r="N257" i="3"/>
  <c r="J257" i="3"/>
  <c r="H134" i="69"/>
  <c r="J131" i="69"/>
  <c r="L91" i="9"/>
  <c r="N91" i="9" s="1"/>
  <c r="D82" i="91"/>
  <c r="L79" i="91"/>
  <c r="N79" i="91" s="1"/>
  <c r="F79" i="91"/>
  <c r="J102" i="77"/>
  <c r="X35" i="78"/>
  <c r="Z35" i="78" s="1"/>
  <c r="V112" i="36"/>
  <c r="X36" i="37"/>
  <c r="X36" i="50"/>
  <c r="N44" i="89"/>
  <c r="X37" i="88"/>
  <c r="Z37" i="88" s="1"/>
  <c r="X235" i="18"/>
  <c r="R235" i="18"/>
  <c r="D68" i="73"/>
  <c r="L68" i="73" s="1"/>
  <c r="N68" i="73" s="1"/>
  <c r="L65" i="73"/>
  <c r="N65" i="73" s="1"/>
  <c r="X39" i="80"/>
  <c r="Z39" i="80" s="1"/>
  <c r="Z51" i="90"/>
  <c r="L65" i="96"/>
  <c r="F65" i="96"/>
  <c r="X69" i="86"/>
  <c r="Z69" i="86" s="1"/>
  <c r="L69" i="58"/>
  <c r="N69" i="58" s="1"/>
  <c r="P99" i="71"/>
  <c r="X96" i="71"/>
  <c r="Z96" i="71" s="1"/>
  <c r="R96" i="71"/>
  <c r="P148" i="30"/>
  <c r="X145" i="30"/>
  <c r="Z145" i="30" s="1"/>
  <c r="R145" i="30"/>
  <c r="N65" i="96"/>
  <c r="J65" i="96"/>
  <c r="V86" i="85"/>
  <c r="T82" i="91"/>
  <c r="Z79" i="91"/>
  <c r="V79" i="91"/>
  <c r="P68" i="73"/>
  <c r="X68" i="73" s="1"/>
  <c r="Z68" i="73" s="1"/>
  <c r="X65" i="73"/>
  <c r="Z65" i="73" s="1"/>
  <c r="L85" i="93"/>
  <c r="N85" i="93" s="1"/>
  <c r="F85" i="93"/>
  <c r="L49" i="74"/>
  <c r="N49" i="74" s="1"/>
  <c r="T65" i="48"/>
  <c r="X65" i="48" s="1"/>
  <c r="Z62" i="48"/>
  <c r="V62" i="48"/>
  <c r="L36" i="22"/>
  <c r="T102" i="77"/>
  <c r="Z99" i="77"/>
  <c r="V99" i="77"/>
  <c r="L217" i="12"/>
  <c r="N217" i="12" s="1"/>
  <c r="Z44" i="89"/>
  <c r="N65" i="48"/>
  <c r="J65" i="48"/>
  <c r="X36" i="46"/>
  <c r="N35" i="78"/>
  <c r="P88" i="24"/>
  <c r="X85" i="24"/>
  <c r="Z85" i="24" s="1"/>
  <c r="R85" i="24"/>
  <c r="Z31" i="54"/>
  <c r="P114" i="66"/>
  <c r="X111" i="66"/>
  <c r="Z111" i="66" s="1"/>
  <c r="R111" i="66"/>
  <c r="P76" i="76"/>
  <c r="X73" i="76"/>
  <c r="Z73" i="76" s="1"/>
  <c r="R73" i="76"/>
  <c r="N64" i="56"/>
  <c r="D100" i="42"/>
  <c r="L97" i="42"/>
  <c r="N97" i="42" s="1"/>
  <c r="F97" i="42"/>
  <c r="X51" i="61"/>
  <c r="Z51" i="61" s="1"/>
  <c r="L39" i="87"/>
  <c r="N39" i="87" s="1"/>
  <c r="L36" i="25"/>
  <c r="X36" i="49"/>
  <c r="T41" i="84"/>
  <c r="V38" i="84"/>
  <c r="X38" i="84"/>
  <c r="Z38" i="84" s="1"/>
  <c r="Z65" i="96"/>
  <c r="V65" i="96"/>
  <c r="H114" i="27"/>
  <c r="N111" i="27"/>
  <c r="J111" i="27"/>
  <c r="N45" i="83"/>
  <c r="L131" i="69"/>
  <c r="N131" i="69" s="1"/>
  <c r="D134" i="69"/>
  <c r="F131" i="69"/>
  <c r="Z36" i="41"/>
  <c r="X36" i="41"/>
  <c r="V85" i="94"/>
  <c r="H87" i="21"/>
  <c r="N84" i="21"/>
  <c r="J84" i="21"/>
  <c r="P220" i="12"/>
  <c r="X217" i="12"/>
  <c r="Z217" i="12" s="1"/>
  <c r="R217" i="12"/>
  <c r="X64" i="56"/>
  <c r="Z64" i="56" s="1"/>
  <c r="F114" i="66"/>
  <c r="X36" i="98"/>
  <c r="H80" i="70"/>
  <c r="N77" i="70"/>
  <c r="J77" i="70"/>
  <c r="Z55" i="67"/>
  <c r="H95" i="45"/>
  <c r="N92" i="45"/>
  <c r="J92" i="45"/>
  <c r="L85" i="94"/>
  <c r="N85" i="94" s="1"/>
  <c r="F85" i="94"/>
  <c r="X31" i="95"/>
  <c r="Z31" i="95" s="1"/>
  <c r="H148" i="30"/>
  <c r="N145" i="30"/>
  <c r="J145" i="30"/>
  <c r="L220" i="12"/>
  <c r="F220" i="12"/>
  <c r="T85" i="93"/>
  <c r="X85" i="93" s="1"/>
  <c r="V82" i="93"/>
  <c r="J86" i="85"/>
  <c r="L36" i="97"/>
  <c r="X36" i="43"/>
  <c r="N41" i="84"/>
  <c r="L76" i="76"/>
  <c r="F76" i="76"/>
  <c r="X82" i="93"/>
  <c r="Z82" i="93" s="1"/>
  <c r="D88" i="24"/>
  <c r="L85" i="24"/>
  <c r="N85" i="24" s="1"/>
  <c r="F85" i="24"/>
  <c r="X36" i="19"/>
  <c r="Z66" i="57"/>
  <c r="X49" i="74"/>
  <c r="Z49" i="74" s="1"/>
  <c r="H114" i="66"/>
  <c r="L114" i="66" s="1"/>
  <c r="N111" i="66"/>
  <c r="J111" i="66"/>
  <c r="Z79" i="79"/>
  <c r="L134" i="69" l="1"/>
  <c r="F134" i="69"/>
  <c r="X76" i="76"/>
  <c r="R76" i="76"/>
  <c r="V102" i="77"/>
  <c r="V83" i="33"/>
  <c r="Z235" i="18"/>
  <c r="V235" i="18"/>
  <c r="L148" i="30"/>
  <c r="F148" i="30"/>
  <c r="V257" i="3"/>
  <c r="J211" i="15"/>
  <c r="L86" i="85"/>
  <c r="N86" i="85" s="1"/>
  <c r="F86" i="85"/>
  <c r="J87" i="21"/>
  <c r="Z83" i="64"/>
  <c r="V83" i="64"/>
  <c r="V220" i="12"/>
  <c r="X36" i="75"/>
  <c r="Z36" i="75" s="1"/>
  <c r="R36" i="75"/>
  <c r="X83" i="64"/>
  <c r="R83" i="64"/>
  <c r="L99" i="71"/>
  <c r="N99" i="71" s="1"/>
  <c r="F99" i="71"/>
  <c r="X134" i="69"/>
  <c r="R134" i="69"/>
  <c r="Z85" i="93"/>
  <c r="V85" i="93"/>
  <c r="N134" i="69"/>
  <c r="J134" i="69"/>
  <c r="J110" i="39"/>
  <c r="X80" i="70"/>
  <c r="R80" i="70"/>
  <c r="X114" i="27"/>
  <c r="R114" i="27"/>
  <c r="J235" i="18"/>
  <c r="L87" i="21"/>
  <c r="N87" i="21" s="1"/>
  <c r="F87" i="21"/>
  <c r="L110" i="39"/>
  <c r="N110" i="39" s="1"/>
  <c r="F110" i="39"/>
  <c r="V99" i="71"/>
  <c r="N76" i="76"/>
  <c r="Z99" i="51"/>
  <c r="V99" i="51"/>
  <c r="L211" i="15"/>
  <c r="N211" i="15" s="1"/>
  <c r="F211" i="15"/>
  <c r="Z76" i="76"/>
  <c r="J99" i="71"/>
  <c r="J95" i="45"/>
  <c r="V41" i="84"/>
  <c r="X41" i="84"/>
  <c r="Z41" i="84" s="1"/>
  <c r="L100" i="42"/>
  <c r="N100" i="42" s="1"/>
  <c r="F100" i="42"/>
  <c r="X114" i="66"/>
  <c r="R114" i="66"/>
  <c r="X148" i="30"/>
  <c r="R148" i="30"/>
  <c r="X85" i="94"/>
  <c r="Z85" i="94" s="1"/>
  <c r="R85" i="94"/>
  <c r="N88" i="24"/>
  <c r="J88" i="24"/>
  <c r="L112" i="36"/>
  <c r="F112" i="36"/>
  <c r="X112" i="36"/>
  <c r="Z112" i="36" s="1"/>
  <c r="R112" i="36"/>
  <c r="J83" i="64"/>
  <c r="L95" i="45"/>
  <c r="N95" i="45" s="1"/>
  <c r="F95" i="45"/>
  <c r="V88" i="24"/>
  <c r="L235" i="18"/>
  <c r="N235" i="18" s="1"/>
  <c r="F235" i="18"/>
  <c r="L102" i="77"/>
  <c r="N102" i="77" s="1"/>
  <c r="F102" i="77"/>
  <c r="V110" i="39"/>
  <c r="Z134" i="69"/>
  <c r="V134" i="69"/>
  <c r="Z65" i="48"/>
  <c r="V65" i="48"/>
  <c r="Z82" i="91"/>
  <c r="V82" i="91"/>
  <c r="X211" i="15"/>
  <c r="R211" i="15"/>
  <c r="Z80" i="70"/>
  <c r="V80" i="70"/>
  <c r="L99" i="51"/>
  <c r="F99" i="51"/>
  <c r="V87" i="21"/>
  <c r="X83" i="33"/>
  <c r="Z83" i="33" s="1"/>
  <c r="R83" i="33"/>
  <c r="L88" i="24"/>
  <c r="F88" i="24"/>
  <c r="N148" i="30"/>
  <c r="J148" i="30"/>
  <c r="J114" i="27"/>
  <c r="L82" i="91"/>
  <c r="N82" i="91" s="1"/>
  <c r="F82" i="91"/>
  <c r="X82" i="91"/>
  <c r="L80" i="70"/>
  <c r="F80" i="70"/>
  <c r="X110" i="39"/>
  <c r="Z110" i="39" s="1"/>
  <c r="R110" i="39"/>
  <c r="Z211" i="15"/>
  <c r="V211" i="15"/>
  <c r="J83" i="33"/>
  <c r="Z114" i="66"/>
  <c r="V114" i="66"/>
  <c r="N220" i="12"/>
  <c r="J220" i="12"/>
  <c r="X220" i="12"/>
  <c r="Z220" i="12" s="1"/>
  <c r="R220" i="12"/>
  <c r="X99" i="71"/>
  <c r="Z99" i="71" s="1"/>
  <c r="R99" i="71"/>
  <c r="X100" i="42"/>
  <c r="R100" i="42"/>
  <c r="L83" i="33"/>
  <c r="N83" i="33" s="1"/>
  <c r="F83" i="33"/>
  <c r="X87" i="21"/>
  <c r="Z87" i="21" s="1"/>
  <c r="X257" i="3"/>
  <c r="Z257" i="3" s="1"/>
  <c r="N99" i="51"/>
  <c r="J99" i="51"/>
  <c r="X86" i="85"/>
  <c r="Z86" i="85" s="1"/>
  <c r="R86" i="85"/>
  <c r="N114" i="66"/>
  <c r="J114" i="66"/>
  <c r="N80" i="70"/>
  <c r="J80" i="70"/>
  <c r="X88" i="24"/>
  <c r="Z88" i="24" s="1"/>
  <c r="R88" i="24"/>
  <c r="Z95" i="45"/>
  <c r="V95" i="45"/>
  <c r="L114" i="27"/>
  <c r="N114" i="27" s="1"/>
  <c r="F114" i="27"/>
  <c r="N112" i="36"/>
  <c r="J112" i="36"/>
  <c r="X102" i="77"/>
  <c r="Z102" i="77" s="1"/>
  <c r="R102" i="77"/>
  <c r="L83" i="64"/>
  <c r="N83" i="64" s="1"/>
  <c r="F83" i="64"/>
  <c r="Z148" i="30"/>
  <c r="V148" i="30"/>
  <c r="Z114" i="27"/>
  <c r="V114" i="27"/>
  <c r="Z100" i="42"/>
  <c r="V100" i="42"/>
</calcChain>
</file>

<file path=xl/sharedStrings.xml><?xml version="1.0" encoding="utf-8"?>
<sst xmlns="http://schemas.openxmlformats.org/spreadsheetml/2006/main" count="2844" uniqueCount="314">
  <si>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</si>
  <si>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</si>
  <si>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</si>
  <si>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</si>
  <si>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</si>
  <si>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</si>
  <si>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</si>
  <si>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</si>
  <si>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</si>
  <si>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</si>
  <si>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</si>
  <si>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</si>
  <si>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</si>
  <si>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</si>
  <si>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</si>
  <si>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</si>
  <si>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</si>
  <si>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</si>
  <si>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</si>
  <si>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</si>
  <si>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</si>
  <si>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</si>
  <si>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</si>
  <si>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</si>
  <si>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</si>
  <si>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</si>
  <si>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</si>
  <si>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</si>
  <si>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</si>
  <si>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</si>
  <si>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</si>
  <si>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</si>
  <si>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</si>
  <si>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</si>
  <si>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</si>
  <si>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</si>
  <si>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</si>
  <si>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</si>
  <si>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</si>
  <si>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</si>
  <si>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</si>
  <si>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</si>
  <si>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</si>
  <si>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</si>
  <si>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</si>
  <si>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</si>
  <si>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</si>
  <si>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</si>
  <si>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</si>
  <si>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</si>
  <si>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</si>
  <si>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</si>
  <si>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</si>
  <si>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</si>
  <si>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</si>
  <si>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</si>
  <si>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</si>
  <si>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</si>
  <si>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</si>
  <si>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</si>
  <si>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</si>
  <si>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</si>
  <si>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</si>
  <si>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</si>
  <si>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</si>
  <si>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</si>
  <si>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</si>
  <si>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</si>
  <si>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</si>
  <si>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</si>
  <si>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</si>
  <si>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</si>
  <si>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</si>
  <si>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</si>
  <si>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</si>
  <si>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</si>
  <si>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</si>
  <si>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</si>
  <si>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</si>
  <si>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</si>
  <si>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</si>
  <si>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</si>
  <si>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</si>
  <si>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</si>
  <si>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</si>
  <si>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</si>
  <si>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</si>
  <si>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</si>
  <si>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</si>
  <si>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</si>
  <si>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</si>
  <si>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</si>
  <si>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</si>
  <si>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</si>
  <si>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</si>
  <si>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</si>
  <si>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</si>
  <si>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</si>
  <si>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</si>
  <si>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</si>
  <si>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</si>
  <si>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</si>
  <si>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</si>
  <si>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</si>
  <si>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</si>
  <si>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</si>
  <si>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</si>
  <si>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</si>
  <si>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</si>
  <si>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</si>
  <si>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</si>
  <si>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</si>
  <si>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</si>
  <si>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</si>
  <si>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</si>
  <si>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</si>
  <si>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</si>
  <si>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</si>
  <si>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</si>
  <si>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</si>
  <si>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</si>
  <si>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</si>
  <si>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</si>
  <si>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</si>
  <si>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</si>
  <si>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</si>
  <si>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</si>
  <si>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</si>
  <si>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</si>
  <si>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</si>
  <si>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</si>
  <si>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</si>
  <si>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</si>
  <si>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</si>
  <si>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</si>
  <si>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</si>
  <si>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</si>
  <si>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</si>
  <si>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</si>
  <si>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</si>
  <si>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</si>
  <si>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</si>
  <si>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</si>
  <si>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</si>
  <si>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</si>
  <si>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</si>
  <si>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</si>
  <si>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</si>
  <si>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</si>
  <si>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</si>
  <si>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</si>
  <si>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</si>
  <si>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</si>
  <si>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</si>
  <si>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</si>
  <si>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</si>
  <si>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</si>
  <si>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</si>
  <si>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</si>
  <si>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</si>
  <si>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</si>
  <si>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</si>
  <si>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</si>
  <si>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</si>
  <si>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</si>
  <si>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</si>
  <si>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</si>
  <si>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</si>
  <si>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</si>
  <si>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</si>
  <si>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</si>
  <si>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</si>
  <si>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</si>
  <si>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</si>
  <si>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</si>
  <si>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</si>
  <si>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</si>
  <si>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</si>
  <si>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</si>
  <si>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</si>
  <si>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</si>
  <si>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</si>
  <si>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</si>
  <si>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</si>
  <si>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</si>
  <si>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</si>
  <si>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</si>
  <si>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</si>
  <si>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</si>
  <si>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</si>
  <si>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</si>
  <si>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</si>
  <si>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</si>
  <si>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</si>
  <si>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</si>
  <si>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</si>
  <si>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</si>
  <si>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</si>
  <si>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</si>
  <si>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</si>
  <si>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</si>
  <si>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</si>
  <si>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</si>
  <si>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</si>
  <si>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</si>
  <si>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</si>
  <si>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</si>
  <si>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</si>
  <si>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</si>
  <si>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</si>
  <si>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</si>
  <si>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</si>
  <si>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</si>
  <si>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</si>
  <si>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</si>
  <si>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</si>
  <si>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</si>
  <si>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</si>
  <si>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</si>
  <si>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</si>
  <si>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</si>
  <si>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</si>
  <si>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</si>
  <si>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</si>
  <si>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</si>
  <si>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</si>
  <si>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</si>
  <si>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</si>
  <si>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</si>
  <si>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</si>
  <si>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</si>
  <si>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</si>
  <si>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</si>
  <si>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</si>
  <si>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</si>
  <si>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</si>
  <si>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</si>
  <si>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Prior Year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</si>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</sst>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167" fontId="2" fillId="0" borderId="0" xfId="3" applyNumberFormat="1" applyFont="1" applyFill="1" applyBorder="1"/>
    <xf numFmtId="168" fontId="2" fillId="2" borderId="3" xfId="2" applyNumberFormat="1" applyFont="1" applyFill="1" applyBorder="1"/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2" borderId="4" xfId="3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7" fontId="0" fillId="0" borderId="0" xfId="0" applyNumberFormat="1" applyFill="1"/>
    <xf numFmtId="167" fontId="0" fillId="0" borderId="0" xfId="3" applyNumberFormat="1" applyFont="1" applyAlignment="1">
      <alignment horizontal="centerContinuous"/>
    </xf>
    <xf numFmtId="164" fontId="2" fillId="0" borderId="0" xfId="1" applyNumberFormat="1" applyFont="1" applyAlignment="1">
      <alignment horizontal="left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3" applyNumberFormat="1" applyFont="1"/>
    <xf numFmtId="0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 applyFill="1"/>
    <xf numFmtId="0" fontId="3" fillId="0" borderId="0" xfId="0" applyFont="1"/>
    <xf numFmtId="0" fontId="4" fillId="0" borderId="0" xfId="0" applyFont="1" applyAlignment="1">
      <alignment horizontal="left"/>
    </xf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 applyAlignment="1">
      <alignment horizontal="centerContinuous"/>
    </xf>
    <xf numFmtId="165" fontId="0" fillId="0" borderId="0" xfId="0" applyNumberFormat="1"/>
    <xf numFmtId="166" fontId="4" fillId="0" borderId="0" xfId="0" applyNumberFormat="1" applyFont="1" applyAlignment="1">
      <alignment horizontal="left"/>
    </xf>
    <xf numFmtId="0" fontId="2" fillId="0" borderId="0" xfId="0" applyFont="1" applyFill="1" applyBorder="1"/>
    <xf numFmtId="164" fontId="2" fillId="0" borderId="0" xfId="1" applyNumberFormat="1" applyFont="1" applyFill="1" applyAlignment="1">
      <alignment horizontal="centerContinuous"/>
    </xf>
    <xf numFmtId="49" fontId="2" fillId="2" borderId="1" xfId="0" applyNumberFormat="1" applyFont="1" applyFill="1" applyBorder="1" applyAlignment="1">
      <alignment horizontal="center"/>
    </xf>
    <xf numFmtId="0" fontId="5" fillId="0" borderId="0" xfId="0" applyFont="1" applyFill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177</v>
      </c>
      <c r="B3" s="41" t="s">
        <v>195</v>
      </c>
      <c r="C3" s="41" t="s">
        <v>238</v>
      </c>
      <c r="D3" s="41" t="s">
        <v>98</v>
      </c>
      <c r="E3" s="41" t="s">
        <v>157</v>
      </c>
      <c r="F3" s="41" t="s">
        <v>0</v>
      </c>
      <c r="G3" s="41" t="s">
        <v>178</v>
      </c>
      <c r="H3" s="41" t="s">
        <v>53</v>
      </c>
      <c r="I3" s="41" t="s">
        <v>99</v>
      </c>
      <c r="J3" s="41" t="s">
        <v>213</v>
      </c>
      <c r="K3" s="41" t="s">
        <v>137</v>
      </c>
      <c r="L3" s="41" t="s">
        <v>214</v>
      </c>
      <c r="M3" s="41" t="s">
        <v>77</v>
      </c>
      <c r="N3" s="41" t="s">
        <v>78</v>
      </c>
      <c r="O3" s="41" t="s">
        <v>179</v>
      </c>
      <c r="P3" s="41" t="s">
        <v>196</v>
      </c>
      <c r="Q3" s="41" t="s">
        <v>17</v>
      </c>
      <c r="R3" s="41" t="s">
        <v>18</v>
      </c>
      <c r="S3" s="41" t="s">
        <v>54</v>
      </c>
      <c r="T3" s="41" t="s">
        <v>215</v>
      </c>
      <c r="U3" s="41" t="s">
        <v>270</v>
      </c>
      <c r="V3" s="41" t="s">
        <v>288</v>
      </c>
      <c r="W3" s="41" t="s">
        <v>180</v>
      </c>
      <c r="X3" s="41" t="s">
        <v>271</v>
      </c>
      <c r="Y3" s="41" t="s">
        <v>101</v>
      </c>
      <c r="Z3" s="41" t="s">
        <v>252</v>
      </c>
      <c r="AA3" s="41" t="s">
        <v>158</v>
      </c>
      <c r="AB3" s="41" t="s">
        <v>272</v>
      </c>
      <c r="AC3" s="41" t="s">
        <v>19</v>
      </c>
      <c r="AD3" s="41" t="s">
        <v>102</v>
      </c>
      <c r="AE3" s="41" t="s">
        <v>159</v>
      </c>
      <c r="AF3" s="41" t="s">
        <v>103</v>
      </c>
      <c r="AG3" s="41" t="s">
        <v>197</v>
      </c>
      <c r="AH3" s="41" t="s">
        <v>38</v>
      </c>
      <c r="AI3" s="41" t="s">
        <v>273</v>
      </c>
      <c r="AJ3" s="41" t="s">
        <v>274</v>
      </c>
      <c r="AK3" s="41" t="s">
        <v>79</v>
      </c>
      <c r="AL3" s="41" t="s">
        <v>253</v>
      </c>
      <c r="AM3" s="41" t="s">
        <v>254</v>
      </c>
      <c r="AN3" s="41" t="s">
        <v>234</v>
      </c>
      <c r="AO3" s="41" t="s">
        <v>310</v>
      </c>
      <c r="AP3" s="41" t="s">
        <v>311</v>
      </c>
      <c r="AQ3" s="41" t="s">
        <v>123</v>
      </c>
      <c r="AR3" s="41" t="s">
        <v>181</v>
      </c>
      <c r="AS3" s="41" t="s">
        <v>235</v>
      </c>
      <c r="AT3" s="41" t="s">
        <v>275</v>
      </c>
      <c r="AU3" s="41" t="s">
        <v>216</v>
      </c>
      <c r="AV3" s="41" t="s">
        <v>122</v>
      </c>
      <c r="AW3" s="41" t="s">
        <v>100</v>
      </c>
      <c r="AX3" s="41" t="s">
        <v>289</v>
      </c>
      <c r="AY3" s="41" t="s">
        <v>20</v>
      </c>
      <c r="AZ3" s="41" t="s">
        <v>290</v>
      </c>
      <c r="BA3" s="41" t="s">
        <v>277</v>
      </c>
      <c r="BB3" s="41" t="s">
        <v>109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138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106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106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255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255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313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313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198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198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80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238</v>
      </c>
      <c r="B3" s="41" t="s">
        <v>295</v>
      </c>
      <c r="C3" s="41" t="s">
        <v>0</v>
      </c>
      <c r="D3" s="41" t="s">
        <v>58</v>
      </c>
      <c r="E3" s="41" t="s">
        <v>82</v>
      </c>
      <c r="F3" s="41" t="s">
        <v>24</v>
      </c>
      <c r="G3" s="41" t="s">
        <v>128</v>
      </c>
      <c r="H3" s="41" t="s">
        <v>160</v>
      </c>
      <c r="I3" s="41" t="s">
        <v>108</v>
      </c>
      <c r="J3" s="41" t="s">
        <v>239</v>
      </c>
      <c r="K3" s="41" t="s">
        <v>129</v>
      </c>
      <c r="L3" s="41" t="s">
        <v>25</v>
      </c>
      <c r="M3" s="41" t="s">
        <v>59</v>
      </c>
      <c r="N3" s="41" t="s">
        <v>41</v>
      </c>
      <c r="O3" s="41" t="s">
        <v>60</v>
      </c>
      <c r="P3" s="41" t="s">
        <v>161</v>
      </c>
      <c r="Q3" s="41" t="s">
        <v>26</v>
      </c>
      <c r="R3" s="41" t="s">
        <v>184</v>
      </c>
      <c r="S3" s="41" t="s">
        <v>185</v>
      </c>
      <c r="T3" s="41" t="s">
        <v>200</v>
      </c>
      <c r="U3" s="41" t="s">
        <v>27</v>
      </c>
      <c r="V3" s="41" t="s">
        <v>240</v>
      </c>
      <c r="W3" s="41" t="s">
        <v>258</v>
      </c>
      <c r="X3" s="41" t="s">
        <v>201</v>
      </c>
      <c r="Y3" s="41" t="s">
        <v>186</v>
      </c>
      <c r="Z3" s="41" t="s">
        <v>1</v>
      </c>
      <c r="AA3" s="41" t="s">
        <v>278</v>
      </c>
      <c r="AB3" s="41" t="s">
        <v>130</v>
      </c>
      <c r="AC3" s="41" t="s">
        <v>110</v>
      </c>
      <c r="AD3" s="41" t="s">
        <v>42</v>
      </c>
      <c r="AE3" s="41" t="s">
        <v>83</v>
      </c>
      <c r="AF3" s="41" t="s">
        <v>43</v>
      </c>
      <c r="AG3" s="41" t="s">
        <v>219</v>
      </c>
      <c r="AH3" s="41" t="s">
        <v>162</v>
      </c>
      <c r="AI3" s="41" t="s">
        <v>202</v>
      </c>
      <c r="AJ3" s="41" t="s">
        <v>62</v>
      </c>
      <c r="AK3" s="41" t="s">
        <v>131</v>
      </c>
      <c r="AL3" s="41" t="s">
        <v>296</v>
      </c>
      <c r="AM3" s="41" t="s">
        <v>203</v>
      </c>
      <c r="AN3" s="41" t="s">
        <v>63</v>
      </c>
      <c r="AO3" s="41" t="s">
        <v>28</v>
      </c>
      <c r="AP3" s="41" t="s">
        <v>204</v>
      </c>
      <c r="AQ3" s="41" t="s">
        <v>64</v>
      </c>
      <c r="AR3" s="41" t="s">
        <v>259</v>
      </c>
      <c r="AS3" s="41" t="s">
        <v>220</v>
      </c>
      <c r="AT3" s="41" t="s">
        <v>3</v>
      </c>
      <c r="AU3" s="41" t="s">
        <v>279</v>
      </c>
      <c r="AV3" s="41" t="s">
        <v>140</v>
      </c>
      <c r="AW3" s="41" t="s">
        <v>4</v>
      </c>
      <c r="AX3" s="41" t="s">
        <v>84</v>
      </c>
      <c r="AY3" s="41" t="s">
        <v>297</v>
      </c>
      <c r="AZ3" s="41" t="s">
        <v>65</v>
      </c>
      <c r="BA3" s="41" t="s">
        <v>221</v>
      </c>
      <c r="BB3" s="41" t="s">
        <v>66</v>
      </c>
      <c r="BC3" s="41" t="s">
        <v>241</v>
      </c>
      <c r="BD3" s="41" t="s">
        <v>280</v>
      </c>
      <c r="BE3" s="41" t="s">
        <v>141</v>
      </c>
      <c r="BF3" s="41" t="s">
        <v>298</v>
      </c>
      <c r="BG3" s="41" t="s">
        <v>111</v>
      </c>
      <c r="BH3" s="41" t="s">
        <v>112</v>
      </c>
      <c r="BI3" s="41" t="s">
        <v>242</v>
      </c>
      <c r="BJ3" s="41" t="s">
        <v>222</v>
      </c>
      <c r="BK3" s="41" t="s">
        <v>67</v>
      </c>
      <c r="BL3" s="41" t="s">
        <v>163</v>
      </c>
      <c r="BM3" s="41" t="s">
        <v>281</v>
      </c>
      <c r="BN3" s="41" t="s">
        <v>223</v>
      </c>
      <c r="BO3" s="41" t="s">
        <v>299</v>
      </c>
      <c r="BP3" s="41" t="s">
        <v>142</v>
      </c>
      <c r="BQ3" s="41" t="s">
        <v>224</v>
      </c>
      <c r="BR3" s="41" t="s">
        <v>132</v>
      </c>
      <c r="BS3" s="41" t="s">
        <v>205</v>
      </c>
      <c r="BT3" s="41" t="s">
        <v>68</v>
      </c>
      <c r="BU3" s="41" t="s">
        <v>225</v>
      </c>
      <c r="BV3" s="41" t="s">
        <v>260</v>
      </c>
      <c r="BW3" s="41" t="s">
        <v>300</v>
      </c>
      <c r="BX3" s="41" t="s">
        <v>164</v>
      </c>
      <c r="BY3" s="41" t="s">
        <v>282</v>
      </c>
      <c r="BZ3" s="41" t="s">
        <v>143</v>
      </c>
      <c r="CA3" s="41" t="s">
        <v>5</v>
      </c>
      <c r="CB3" s="41" t="s">
        <v>113</v>
      </c>
      <c r="CC3" s="41" t="s">
        <v>206</v>
      </c>
      <c r="CD3" s="41" t="s">
        <v>44</v>
      </c>
      <c r="CE3" s="41" t="s">
        <v>226</v>
      </c>
      <c r="CF3" s="41" t="s">
        <v>45</v>
      </c>
      <c r="CG3" s="41" t="s">
        <v>283</v>
      </c>
      <c r="CH3" s="41" t="s">
        <v>187</v>
      </c>
      <c r="CI3" s="41" t="s">
        <v>133</v>
      </c>
      <c r="CJ3" s="41" t="s">
        <v>301</v>
      </c>
      <c r="CK3" s="41" t="s">
        <v>114</v>
      </c>
      <c r="CL3" s="41" t="s">
        <v>144</v>
      </c>
      <c r="CM3" s="41" t="s">
        <v>145</v>
      </c>
      <c r="CN3" s="41" t="s">
        <v>207</v>
      </c>
      <c r="CO3" s="41" t="s">
        <v>85</v>
      </c>
      <c r="CP3" s="41" t="s">
        <v>165</v>
      </c>
      <c r="CQ3" s="41" t="s">
        <v>302</v>
      </c>
      <c r="CR3" s="41" t="s">
        <v>134</v>
      </c>
      <c r="CS3" s="41" t="s">
        <v>284</v>
      </c>
      <c r="CT3" s="41" t="s">
        <v>166</v>
      </c>
      <c r="CU3" s="41" t="s">
        <v>227</v>
      </c>
      <c r="CV3" s="41" t="s">
        <v>167</v>
      </c>
      <c r="CW3" s="41" t="s">
        <v>115</v>
      </c>
      <c r="CX3" s="41" t="s">
        <v>46</v>
      </c>
      <c r="CY3" s="41" t="s">
        <v>243</v>
      </c>
      <c r="CZ3" s="41" t="s">
        <v>261</v>
      </c>
      <c r="DA3" s="41" t="s">
        <v>6</v>
      </c>
      <c r="DB3" s="41" t="s">
        <v>86</v>
      </c>
      <c r="DC3" s="41" t="s">
        <v>146</v>
      </c>
      <c r="DD3" s="41" t="s">
        <v>7</v>
      </c>
      <c r="DE3" s="41" t="s">
        <v>8</v>
      </c>
      <c r="DF3" s="41" t="s">
        <v>188</v>
      </c>
      <c r="DG3" s="41" t="s">
        <v>47</v>
      </c>
      <c r="DH3" s="41" t="s">
        <v>228</v>
      </c>
      <c r="DI3" s="41" t="s">
        <v>87</v>
      </c>
      <c r="DJ3" s="41" t="s">
        <v>69</v>
      </c>
      <c r="DK3" s="41" t="s">
        <v>29</v>
      </c>
      <c r="DL3" s="41" t="s">
        <v>30</v>
      </c>
      <c r="DM3" s="41" t="s">
        <v>303</v>
      </c>
      <c r="DN3" s="41" t="s">
        <v>168</v>
      </c>
      <c r="DO3" s="41" t="s">
        <v>135</v>
      </c>
      <c r="DP3" s="41" t="s">
        <v>208</v>
      </c>
      <c r="DQ3" s="41" t="s">
        <v>9</v>
      </c>
      <c r="DR3" s="41" t="s">
        <v>70</v>
      </c>
      <c r="DS3" s="41" t="s">
        <v>244</v>
      </c>
      <c r="DT3" s="41" t="s">
        <v>169</v>
      </c>
      <c r="DU3" s="41" t="s">
        <v>71</v>
      </c>
      <c r="DV3" s="41" t="s">
        <v>304</v>
      </c>
      <c r="DW3" s="41" t="s">
        <v>170</v>
      </c>
      <c r="DX3" s="41" t="s">
        <v>147</v>
      </c>
      <c r="DY3" s="41" t="s">
        <v>31</v>
      </c>
      <c r="DZ3" s="41" t="s">
        <v>32</v>
      </c>
      <c r="EA3" s="41" t="s">
        <v>48</v>
      </c>
      <c r="EB3" s="41" t="s">
        <v>245</v>
      </c>
      <c r="EC3" s="41" t="s">
        <v>229</v>
      </c>
      <c r="ED3" s="41" t="s">
        <v>88</v>
      </c>
      <c r="EE3" s="41" t="s">
        <v>189</v>
      </c>
      <c r="EF3" s="41" t="s">
        <v>33</v>
      </c>
      <c r="EG3" s="41" t="s">
        <v>10</v>
      </c>
      <c r="EH3" s="41" t="s">
        <v>305</v>
      </c>
      <c r="EI3" s="41" t="s">
        <v>148</v>
      </c>
      <c r="EJ3" s="41" t="s">
        <v>49</v>
      </c>
      <c r="EK3" s="41" t="s">
        <v>11</v>
      </c>
      <c r="EL3" s="41" t="s">
        <v>89</v>
      </c>
      <c r="EM3" s="41" t="s">
        <v>72</v>
      </c>
      <c r="EN3" s="41" t="s">
        <v>209</v>
      </c>
      <c r="EO3" s="41" t="s">
        <v>230</v>
      </c>
      <c r="EP3" s="41" t="s">
        <v>285</v>
      </c>
      <c r="EQ3" s="41" t="s">
        <v>171</v>
      </c>
      <c r="ER3" s="41" t="s">
        <v>149</v>
      </c>
      <c r="ES3" s="41" t="s">
        <v>246</v>
      </c>
      <c r="ET3" s="41" t="s">
        <v>73</v>
      </c>
      <c r="EU3" s="41" t="s">
        <v>262</v>
      </c>
      <c r="EV3" s="41" t="s">
        <v>263</v>
      </c>
      <c r="EW3" s="41" t="s">
        <v>231</v>
      </c>
      <c r="EX3" s="41" t="s">
        <v>306</v>
      </c>
      <c r="EY3" s="41" t="s">
        <v>247</v>
      </c>
      <c r="EZ3" s="41" t="s">
        <v>248</v>
      </c>
      <c r="FA3" s="41" t="s">
        <v>34</v>
      </c>
      <c r="FB3" s="41" t="s">
        <v>307</v>
      </c>
      <c r="FC3" s="41" t="s">
        <v>50</v>
      </c>
      <c r="FD3" s="41" t="s">
        <v>90</v>
      </c>
      <c r="FE3" s="41" t="s">
        <v>232</v>
      </c>
      <c r="FF3" s="41" t="s">
        <v>116</v>
      </c>
      <c r="FG3" s="41" t="s">
        <v>91</v>
      </c>
      <c r="FH3" s="41" t="s">
        <v>92</v>
      </c>
      <c r="FI3" s="41" t="s">
        <v>264</v>
      </c>
      <c r="FJ3" s="41" t="s">
        <v>190</v>
      </c>
      <c r="FK3" s="41" t="s">
        <v>191</v>
      </c>
      <c r="FL3" s="41" t="s">
        <v>172</v>
      </c>
      <c r="FM3" s="41" t="s">
        <v>150</v>
      </c>
      <c r="FN3" s="41" t="s">
        <v>117</v>
      </c>
      <c r="FO3" s="41" t="s">
        <v>173</v>
      </c>
      <c r="FP3" s="41" t="s">
        <v>265</v>
      </c>
      <c r="FQ3" s="41" t="s">
        <v>249</v>
      </c>
      <c r="FR3" s="41" t="s">
        <v>210</v>
      </c>
      <c r="FS3" s="41" t="s">
        <v>286</v>
      </c>
      <c r="FT3" s="41" t="s">
        <v>151</v>
      </c>
      <c r="FU3" s="41" t="s">
        <v>12</v>
      </c>
      <c r="FV3" s="41" t="s">
        <v>192</v>
      </c>
      <c r="FW3" s="41" t="s">
        <v>93</v>
      </c>
      <c r="FX3" s="41" t="s">
        <v>152</v>
      </c>
      <c r="FY3" s="41" t="s">
        <v>174</v>
      </c>
      <c r="FZ3" s="41" t="s">
        <v>94</v>
      </c>
      <c r="GA3" s="41" t="s">
        <v>266</v>
      </c>
      <c r="GB3" s="41" t="s">
        <v>35</v>
      </c>
      <c r="GC3" s="41" t="s">
        <v>36</v>
      </c>
      <c r="GD3" s="41" t="s">
        <v>287</v>
      </c>
      <c r="GE3" s="41" t="s">
        <v>118</v>
      </c>
      <c r="GF3" s="41" t="s">
        <v>233</v>
      </c>
      <c r="GG3" s="41" t="s">
        <v>193</v>
      </c>
      <c r="GH3" s="41" t="s">
        <v>194</v>
      </c>
      <c r="GI3" s="41" t="s">
        <v>267</v>
      </c>
      <c r="GJ3" s="41" t="s">
        <v>136</v>
      </c>
      <c r="GK3" s="41" t="s">
        <v>37</v>
      </c>
      <c r="GL3" s="41" t="s">
        <v>74</v>
      </c>
      <c r="GM3" s="41" t="s">
        <v>119</v>
      </c>
      <c r="GN3" s="41" t="s">
        <v>13</v>
      </c>
      <c r="GO3" s="41" t="s">
        <v>308</v>
      </c>
      <c r="GP3" s="41" t="s">
        <v>211</v>
      </c>
      <c r="GQ3" s="41" t="s">
        <v>75</v>
      </c>
      <c r="GR3" s="41" t="s">
        <v>175</v>
      </c>
      <c r="GS3" s="41" t="s">
        <v>153</v>
      </c>
      <c r="GT3" s="41" t="s">
        <v>120</v>
      </c>
      <c r="GU3" s="41" t="s">
        <v>250</v>
      </c>
      <c r="GV3" s="41" t="s">
        <v>51</v>
      </c>
      <c r="GW3" s="41" t="s">
        <v>14</v>
      </c>
      <c r="GX3" s="41" t="s">
        <v>309</v>
      </c>
      <c r="GY3" s="41" t="s">
        <v>95</v>
      </c>
      <c r="GZ3" s="41" t="s">
        <v>268</v>
      </c>
      <c r="HA3" s="41" t="s">
        <v>176</v>
      </c>
      <c r="HB3" s="41" t="s">
        <v>212</v>
      </c>
      <c r="HC3" s="41" t="s">
        <v>251</v>
      </c>
      <c r="HD3" s="41" t="s">
        <v>154</v>
      </c>
      <c r="HE3" s="41" t="s">
        <v>15</v>
      </c>
      <c r="HF3" s="41" t="s">
        <v>96</v>
      </c>
      <c r="HG3" s="41" t="s">
        <v>97</v>
      </c>
      <c r="HH3" s="41" t="s">
        <v>52</v>
      </c>
      <c r="HI3" s="41" t="s">
        <v>121</v>
      </c>
      <c r="HJ3" s="41" t="s">
        <v>269</v>
      </c>
      <c r="HK3" s="41"/>
      <c r="HL3" s="41" t="s">
        <v>2</v>
      </c>
      <c r="HM3" s="65"/>
      <c r="HN3" s="41" t="s">
        <v>277</v>
      </c>
      <c r="HO3" s="41" t="s">
        <v>109</v>
      </c>
      <c r="HP3" t="s">
        <v>61</v>
      </c>
      <c r="JK3" s="41" t="s">
        <v>16</v>
      </c>
      <c r="JL3" s="41" t="s">
        <v>155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76</v>
      </c>
      <c r="JL10002" s="41" t="s">
        <v>156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80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21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21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124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124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199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199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55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2:Z262"/>
  <sheetViews>
    <sheetView tabSelected="1" zoomScale="80" workbookViewId="0">
      <pane xSplit="3" ySplit="10" topLeftCell="D168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2349602.9600000004</v>
      </c>
      <c r="E12" s="4"/>
      <c r="F12" s="12"/>
      <c r="G12" s="4"/>
      <c r="H12" s="4">
        <f>SUM(OSRRefH13x_0)</f>
        <v>895796.51000000024</v>
      </c>
      <c r="I12" s="4"/>
      <c r="J12" s="12"/>
      <c r="K12" s="4"/>
      <c r="L12" s="4">
        <f t="shared" ref="L12:L94" si="0">+D12-H12</f>
        <v>1453806.4500000002</v>
      </c>
      <c r="M12" s="4"/>
      <c r="N12" s="12">
        <f t="shared" ref="N12:N94" si="1">IF(H12=0,0,L12/H12)</f>
        <v>1.6229204219605631</v>
      </c>
      <c r="O12" s="10"/>
      <c r="P12" s="4">
        <f>SUM(OSRRefP13x_0)</f>
        <v>5342285.28</v>
      </c>
      <c r="Q12" s="4"/>
      <c r="R12" s="12"/>
      <c r="S12" s="4"/>
      <c r="T12" s="4">
        <f>SUM(OSRRefT13x_0)</f>
        <v>3583696.9099999988</v>
      </c>
      <c r="U12" s="4"/>
      <c r="V12" s="12"/>
      <c r="W12" s="4"/>
      <c r="X12" s="4">
        <f t="shared" ref="X12:X94" si="2">+P12-T12</f>
        <v>1758588.3700000015</v>
      </c>
      <c r="Y12" s="4"/>
      <c r="Z12" s="12">
        <f t="shared" ref="Z12:Z94" si="3">IF(T12=0,0,X12/T12)</f>
        <v>0.49071905748859829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--602508.39</f>
        <v>602508.39</v>
      </c>
      <c r="E13" s="2"/>
      <c r="F13" s="19"/>
      <c r="G13" s="2"/>
      <c r="H13" s="2">
        <f>-8672.74</f>
        <v>-8672.74</v>
      </c>
      <c r="I13" s="2"/>
      <c r="J13" s="19"/>
      <c r="K13" s="2"/>
      <c r="L13" s="2">
        <f t="shared" si="0"/>
        <v>611181.13</v>
      </c>
      <c r="M13" s="2"/>
      <c r="N13" s="19">
        <f t="shared" si="1"/>
        <v>-70.47151534578461</v>
      </c>
      <c r="O13" s="11"/>
      <c r="P13" s="2">
        <f>--2393375.75</f>
        <v>2393375.75</v>
      </c>
      <c r="Q13" s="2"/>
      <c r="R13" s="19"/>
      <c r="S13" s="2"/>
      <c r="T13" s="2">
        <f>-37800.78</f>
        <v>-37800.78</v>
      </c>
      <c r="U13" s="2"/>
      <c r="V13" s="19"/>
      <c r="W13" s="2"/>
      <c r="X13" s="2">
        <f t="shared" si="2"/>
        <v>2431176.5299999998</v>
      </c>
      <c r="Y13" s="2"/>
      <c r="Z13" s="19">
        <f t="shared" si="3"/>
        <v>-64.315512272498083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2" si="4">0</f>
        <v>0</v>
      </c>
      <c r="E14" s="2"/>
      <c r="F14" s="19"/>
      <c r="G14" s="2"/>
      <c r="H14" s="2">
        <f>--110499.32</f>
        <v>110499.32</v>
      </c>
      <c r="I14" s="2"/>
      <c r="J14" s="19"/>
      <c r="K14" s="2"/>
      <c r="L14" s="2">
        <f t="shared" si="0"/>
        <v>-110499.32</v>
      </c>
      <c r="M14" s="2"/>
      <c r="N14" s="19">
        <f t="shared" si="1"/>
        <v>-1</v>
      </c>
      <c r="O14" s="11"/>
      <c r="P14" s="2">
        <f t="shared" ref="P14:P32" si="5">0</f>
        <v>0</v>
      </c>
      <c r="Q14" s="2"/>
      <c r="R14" s="19"/>
      <c r="S14" s="2"/>
      <c r="T14" s="2">
        <f>--694696.64</f>
        <v>694696.64</v>
      </c>
      <c r="U14" s="2"/>
      <c r="V14" s="19"/>
      <c r="W14" s="2"/>
      <c r="X14" s="2">
        <f t="shared" si="2"/>
        <v>-694696.64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--38043.74</f>
        <v>38043.74</v>
      </c>
      <c r="I15" s="2"/>
      <c r="J15" s="19"/>
      <c r="K15" s="2"/>
      <c r="L15" s="2">
        <f t="shared" si="0"/>
        <v>-38043.74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--316655.9</f>
        <v>316655.90000000002</v>
      </c>
      <c r="U15" s="2"/>
      <c r="V15" s="19"/>
      <c r="W15" s="2"/>
      <c r="X15" s="2">
        <f t="shared" si="2"/>
        <v>-316655.90000000002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--1539.79</f>
        <v>1539.79</v>
      </c>
      <c r="I16" s="2"/>
      <c r="J16" s="19"/>
      <c r="K16" s="2"/>
      <c r="L16" s="2">
        <f t="shared" si="0"/>
        <v>-1539.79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--10595.63</f>
        <v>10595.63</v>
      </c>
      <c r="U16" s="2"/>
      <c r="V16" s="19"/>
      <c r="W16" s="2"/>
      <c r="X16" s="2">
        <f t="shared" si="2"/>
        <v>-10595.63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--284.22</f>
        <v>284.22000000000003</v>
      </c>
      <c r="I17" s="2"/>
      <c r="J17" s="19"/>
      <c r="K17" s="2"/>
      <c r="L17" s="2">
        <f t="shared" si="0"/>
        <v>-284.22000000000003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--2105.11</f>
        <v>2105.11</v>
      </c>
      <c r="U17" s="2"/>
      <c r="V17" s="19"/>
      <c r="W17" s="2"/>
      <c r="X17" s="2">
        <f t="shared" si="2"/>
        <v>-2105.11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--39.9</f>
        <v>39.9</v>
      </c>
      <c r="U18" s="2"/>
      <c r="V18" s="19"/>
      <c r="W18" s="2"/>
      <c r="X18" s="2">
        <f t="shared" si="2"/>
        <v>-39.9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--97.51</f>
        <v>97.51</v>
      </c>
      <c r="I19" s="2"/>
      <c r="J19" s="19"/>
      <c r="K19" s="2"/>
      <c r="L19" s="2">
        <f t="shared" si="0"/>
        <v>-97.51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--304.44</f>
        <v>304.44</v>
      </c>
      <c r="U19" s="2"/>
      <c r="V19" s="19"/>
      <c r="W19" s="2"/>
      <c r="X19" s="2">
        <f t="shared" si="2"/>
        <v>-304.44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--48.87</f>
        <v>48.87</v>
      </c>
      <c r="I20" s="2"/>
      <c r="J20" s="19"/>
      <c r="K20" s="2"/>
      <c r="L20" s="2">
        <f t="shared" si="0"/>
        <v>-48.87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--21.47</f>
        <v>21.47</v>
      </c>
      <c r="I21" s="2"/>
      <c r="J21" s="19"/>
      <c r="K21" s="2"/>
      <c r="L21" s="2">
        <f t="shared" si="0"/>
        <v>-21.47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--258.03</f>
        <v>258.02999999999997</v>
      </c>
      <c r="U21" s="2"/>
      <c r="V21" s="19"/>
      <c r="W21" s="2"/>
      <c r="X21" s="2">
        <f t="shared" si="2"/>
        <v>-258.02999999999997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--10773.55</f>
        <v>10773.55</v>
      </c>
      <c r="I22" s="2"/>
      <c r="J22" s="19"/>
      <c r="K22" s="2"/>
      <c r="L22" s="2">
        <f t="shared" si="0"/>
        <v>-10773.55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--32674.61</f>
        <v>32674.61</v>
      </c>
      <c r="U22" s="2"/>
      <c r="V22" s="19"/>
      <c r="W22" s="2"/>
      <c r="X22" s="2">
        <f t="shared" si="2"/>
        <v>-32674.61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--2807.8</f>
        <v>2807.8</v>
      </c>
      <c r="I23" s="2"/>
      <c r="J23" s="19"/>
      <c r="K23" s="2"/>
      <c r="L23" s="2">
        <f t="shared" si="0"/>
        <v>-2807.8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--12498.9</f>
        <v>12498.9</v>
      </c>
      <c r="U23" s="2"/>
      <c r="V23" s="19"/>
      <c r="W23" s="2"/>
      <c r="X23" s="2">
        <f t="shared" si="2"/>
        <v>-12498.9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--685.9</f>
        <v>685.9</v>
      </c>
      <c r="I24" s="2"/>
      <c r="J24" s="19"/>
      <c r="K24" s="2"/>
      <c r="L24" s="2">
        <f t="shared" si="0"/>
        <v>-685.9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--1238.16</f>
        <v>1238.1600000000001</v>
      </c>
      <c r="U24" s="2"/>
      <c r="V24" s="19"/>
      <c r="W24" s="2"/>
      <c r="X24" s="2">
        <f t="shared" si="2"/>
        <v>-1238.1600000000001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si="4"/>
        <v>0</v>
      </c>
      <c r="E25" s="2"/>
      <c r="F25" s="19"/>
      <c r="G25" s="2"/>
      <c r="H25" s="2">
        <f>--356.39</f>
        <v>356.39</v>
      </c>
      <c r="I25" s="2"/>
      <c r="J25" s="19"/>
      <c r="K25" s="2"/>
      <c r="L25" s="2">
        <f t="shared" si="0"/>
        <v>-356.39</v>
      </c>
      <c r="M25" s="2"/>
      <c r="N25" s="19">
        <f t="shared" si="1"/>
        <v>-1</v>
      </c>
      <c r="O25" s="11"/>
      <c r="P25" s="2">
        <f t="shared" si="5"/>
        <v>0</v>
      </c>
      <c r="Q25" s="2"/>
      <c r="R25" s="19"/>
      <c r="S25" s="2"/>
      <c r="T25" s="2">
        <f>--444.59</f>
        <v>444.59</v>
      </c>
      <c r="U25" s="2"/>
      <c r="V25" s="19"/>
      <c r="W25" s="2"/>
      <c r="X25" s="2">
        <f t="shared" si="2"/>
        <v>-444.59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--6.78</f>
        <v>6.78</v>
      </c>
      <c r="U26" s="2"/>
      <c r="V26" s="19"/>
      <c r="W26" s="2"/>
      <c r="X26" s="2">
        <f t="shared" si="2"/>
        <v>-6.78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 t="shared" si="4"/>
        <v>0</v>
      </c>
      <c r="E27" s="2"/>
      <c r="F27" s="19"/>
      <c r="G27" s="2"/>
      <c r="H27" s="2">
        <f>--78841.84</f>
        <v>78841.84</v>
      </c>
      <c r="I27" s="2"/>
      <c r="J27" s="19"/>
      <c r="K27" s="2"/>
      <c r="L27" s="2">
        <f t="shared" si="0"/>
        <v>-78841.84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--328420.19</f>
        <v>328420.19</v>
      </c>
      <c r="U27" s="2"/>
      <c r="V27" s="19"/>
      <c r="W27" s="2"/>
      <c r="X27" s="2">
        <f t="shared" si="2"/>
        <v>-328420.19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 t="shared" si="4"/>
        <v>0</v>
      </c>
      <c r="E28" s="2"/>
      <c r="F28" s="19"/>
      <c r="G28" s="2"/>
      <c r="H28" s="2">
        <f>--27724.06</f>
        <v>27724.06</v>
      </c>
      <c r="I28" s="2"/>
      <c r="J28" s="19"/>
      <c r="K28" s="2"/>
      <c r="L28" s="2">
        <f t="shared" si="0"/>
        <v>-27724.06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--131033.62</f>
        <v>131033.62</v>
      </c>
      <c r="U28" s="2"/>
      <c r="V28" s="19"/>
      <c r="W28" s="2"/>
      <c r="X28" s="2">
        <f t="shared" si="2"/>
        <v>-131033.62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 t="shared" si="4"/>
        <v>0</v>
      </c>
      <c r="E29" s="2"/>
      <c r="F29" s="19"/>
      <c r="G29" s="2"/>
      <c r="H29" s="2">
        <f>--8004.46</f>
        <v>8004.46</v>
      </c>
      <c r="I29" s="2"/>
      <c r="J29" s="19"/>
      <c r="K29" s="2"/>
      <c r="L29" s="2">
        <f t="shared" si="0"/>
        <v>-8004.46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--47929.5</f>
        <v>47929.5</v>
      </c>
      <c r="U29" s="2"/>
      <c r="V29" s="19"/>
      <c r="W29" s="2"/>
      <c r="X29" s="2">
        <f t="shared" si="2"/>
        <v>-47929.5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 t="shared" si="4"/>
        <v>0</v>
      </c>
      <c r="E30" s="2"/>
      <c r="F30" s="19"/>
      <c r="G30" s="2"/>
      <c r="H30" s="2">
        <f>--2805.53</f>
        <v>2805.53</v>
      </c>
      <c r="I30" s="2"/>
      <c r="J30" s="19"/>
      <c r="K30" s="2"/>
      <c r="L30" s="2">
        <f t="shared" si="0"/>
        <v>-2805.53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--9791.16</f>
        <v>9791.16</v>
      </c>
      <c r="U30" s="2"/>
      <c r="V30" s="19"/>
      <c r="W30" s="2"/>
      <c r="X30" s="2">
        <f t="shared" si="2"/>
        <v>-9791.16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 t="shared" si="4"/>
        <v>0</v>
      </c>
      <c r="E31" s="2"/>
      <c r="F31" s="19"/>
      <c r="G31" s="2"/>
      <c r="H31" s="2">
        <f>--2962.32</f>
        <v>2962.32</v>
      </c>
      <c r="I31" s="2"/>
      <c r="J31" s="19"/>
      <c r="K31" s="2"/>
      <c r="L31" s="2">
        <f t="shared" si="0"/>
        <v>-2962.32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--11331.52</f>
        <v>11331.52</v>
      </c>
      <c r="U31" s="2"/>
      <c r="V31" s="19"/>
      <c r="W31" s="2"/>
      <c r="X31" s="2">
        <f t="shared" si="2"/>
        <v>-11331.52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 t="shared" si="4"/>
        <v>0</v>
      </c>
      <c r="E32" s="2"/>
      <c r="F32" s="19"/>
      <c r="G32" s="2"/>
      <c r="H32" s="2">
        <f>--2575.36</f>
        <v>2575.36</v>
      </c>
      <c r="I32" s="2"/>
      <c r="J32" s="19"/>
      <c r="K32" s="2"/>
      <c r="L32" s="2">
        <f t="shared" si="0"/>
        <v>-2575.36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--92006.44</f>
        <v>92006.44</v>
      </c>
      <c r="U32" s="2"/>
      <c r="V32" s="19"/>
      <c r="W32" s="2"/>
      <c r="X32" s="2">
        <f t="shared" si="2"/>
        <v>-92006.44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"4051", " - ", "TAXABLE SALES-FOOD")</f>
        <v xml:space="preserve">          4051 - TAXABLE SALES-FOOD</v>
      </c>
      <c r="C33" s="11"/>
      <c r="D33" s="2">
        <f>--33705.87</f>
        <v>33705.870000000003</v>
      </c>
      <c r="E33" s="2"/>
      <c r="F33" s="19"/>
      <c r="G33" s="2"/>
      <c r="H33" s="2">
        <f>--4141.96</f>
        <v>4141.96</v>
      </c>
      <c r="I33" s="2"/>
      <c r="J33" s="19"/>
      <c r="K33" s="2"/>
      <c r="L33" s="2">
        <f t="shared" si="0"/>
        <v>29563.910000000003</v>
      </c>
      <c r="M33" s="2"/>
      <c r="N33" s="19">
        <f t="shared" si="1"/>
        <v>7.1376618798829545</v>
      </c>
      <c r="O33" s="11"/>
      <c r="P33" s="2">
        <f>--64976.31</f>
        <v>64976.31</v>
      </c>
      <c r="Q33" s="2"/>
      <c r="R33" s="19"/>
      <c r="S33" s="2"/>
      <c r="T33" s="2">
        <f>--6652.68</f>
        <v>6652.68</v>
      </c>
      <c r="U33" s="2"/>
      <c r="V33" s="19"/>
      <c r="W33" s="2"/>
      <c r="X33" s="2">
        <f t="shared" si="2"/>
        <v>58323.63</v>
      </c>
      <c r="Y33" s="2"/>
      <c r="Z33" s="19">
        <f t="shared" si="3"/>
        <v>8.7669375349483207</v>
      </c>
    </row>
    <row r="34" spans="1:26" s="24" customFormat="1" hidden="1" outlineLevel="1" x14ac:dyDescent="0.25">
      <c r="A34" s="44"/>
      <c r="B34" s="11" t="str">
        <f>CONCATENATE("          ", "4053", " - ", "TAXABLE SALES-FOOD")</f>
        <v xml:space="preserve">          4053 - TAXABLE SALES-FOOD</v>
      </c>
      <c r="C34" s="11"/>
      <c r="D34" s="2">
        <f>--783.19</f>
        <v>783.19</v>
      </c>
      <c r="E34" s="2"/>
      <c r="F34" s="19"/>
      <c r="G34" s="2"/>
      <c r="H34" s="2">
        <f>--62.54</f>
        <v>62.54</v>
      </c>
      <c r="I34" s="2"/>
      <c r="J34" s="19"/>
      <c r="K34" s="2"/>
      <c r="L34" s="2">
        <f t="shared" si="0"/>
        <v>720.65000000000009</v>
      </c>
      <c r="M34" s="2"/>
      <c r="N34" s="19">
        <f t="shared" si="1"/>
        <v>11.523025263831149</v>
      </c>
      <c r="O34" s="11"/>
      <c r="P34" s="2">
        <f>--1274.02</f>
        <v>1274.02</v>
      </c>
      <c r="Q34" s="2"/>
      <c r="R34" s="19"/>
      <c r="S34" s="2"/>
      <c r="T34" s="2">
        <f>--402.44</f>
        <v>402.44</v>
      </c>
      <c r="U34" s="2"/>
      <c r="V34" s="19"/>
      <c r="W34" s="2"/>
      <c r="X34" s="2">
        <f t="shared" si="2"/>
        <v>871.57999999999993</v>
      </c>
      <c r="Y34" s="2"/>
      <c r="Z34" s="19">
        <f t="shared" si="3"/>
        <v>2.1657389921478978</v>
      </c>
    </row>
    <row r="35" spans="1:26" s="24" customFormat="1" hidden="1" outlineLevel="1" x14ac:dyDescent="0.25">
      <c r="A35" s="44"/>
      <c r="B35" s="11" t="str">
        <f>CONCATENATE("          ", "4058", " - ", "TAXABLE SALES-FOOD")</f>
        <v xml:space="preserve">          4058 - TAXABLE SALES-FOOD</v>
      </c>
      <c r="C35" s="11"/>
      <c r="D35" s="2">
        <f t="shared" ref="D35:D40" si="6">0</f>
        <v>0</v>
      </c>
      <c r="E35" s="2"/>
      <c r="F35" s="19"/>
      <c r="G35" s="2"/>
      <c r="H35" s="2">
        <f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ref="P35:P40" si="7">0</f>
        <v>0</v>
      </c>
      <c r="Q35" s="2"/>
      <c r="R35" s="19"/>
      <c r="S35" s="2"/>
      <c r="T35" s="2">
        <f>--974.91</f>
        <v>974.91</v>
      </c>
      <c r="U35" s="2"/>
      <c r="V35" s="19"/>
      <c r="W35" s="2"/>
      <c r="X35" s="2">
        <f t="shared" si="2"/>
        <v>-974.91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"4081", " - ", "TAXABLE SALES-ELECTRONICS")</f>
        <v xml:space="preserve">          4081 - TAXABLE SALES-ELECTRONICS</v>
      </c>
      <c r="C36" s="11"/>
      <c r="D36" s="2">
        <f t="shared" si="6"/>
        <v>0</v>
      </c>
      <c r="E36" s="2"/>
      <c r="F36" s="19"/>
      <c r="G36" s="2"/>
      <c r="H36" s="2">
        <f>--12239.6</f>
        <v>12239.6</v>
      </c>
      <c r="I36" s="2"/>
      <c r="J36" s="19"/>
      <c r="K36" s="2"/>
      <c r="L36" s="2">
        <f t="shared" si="0"/>
        <v>-12239.6</v>
      </c>
      <c r="M36" s="2"/>
      <c r="N36" s="19">
        <f t="shared" si="1"/>
        <v>-1</v>
      </c>
      <c r="O36" s="11"/>
      <c r="P36" s="2">
        <f t="shared" si="7"/>
        <v>0</v>
      </c>
      <c r="Q36" s="2"/>
      <c r="R36" s="19"/>
      <c r="S36" s="2"/>
      <c r="T36" s="2">
        <f>--50102.62</f>
        <v>50102.62</v>
      </c>
      <c r="U36" s="2"/>
      <c r="V36" s="19"/>
      <c r="W36" s="2"/>
      <c r="X36" s="2">
        <f t="shared" si="2"/>
        <v>-50102.62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"4082", " - ", "TAXABLE SALES-COMPUTER HARDWAR")</f>
        <v xml:space="preserve">          4082 - TAXABLE SALES-COMPUTER HARDWAR</v>
      </c>
      <c r="C37" s="11"/>
      <c r="D37" s="2">
        <f t="shared" si="6"/>
        <v>0</v>
      </c>
      <c r="E37" s="2"/>
      <c r="F37" s="19"/>
      <c r="G37" s="2"/>
      <c r="H37" s="2">
        <f>--198101.2</f>
        <v>198101.2</v>
      </c>
      <c r="I37" s="2"/>
      <c r="J37" s="19"/>
      <c r="K37" s="2"/>
      <c r="L37" s="2">
        <f t="shared" si="0"/>
        <v>-198101.2</v>
      </c>
      <c r="M37" s="2"/>
      <c r="N37" s="19">
        <f t="shared" si="1"/>
        <v>-1</v>
      </c>
      <c r="O37" s="11"/>
      <c r="P37" s="2">
        <f t="shared" si="7"/>
        <v>0</v>
      </c>
      <c r="Q37" s="2"/>
      <c r="R37" s="19"/>
      <c r="S37" s="2"/>
      <c r="T37" s="2">
        <f>--739313.21</f>
        <v>739313.21</v>
      </c>
      <c r="U37" s="2"/>
      <c r="V37" s="19"/>
      <c r="W37" s="2"/>
      <c r="X37" s="2">
        <f t="shared" si="2"/>
        <v>-739313.21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"4083", " - ", "TAXABLE SALES-COMPUTER EQUIPME")</f>
        <v xml:space="preserve">          4083 - TAXABLE SALES-COMPUTER EQUIPME</v>
      </c>
      <c r="C38" s="11"/>
      <c r="D38" s="2">
        <f t="shared" si="6"/>
        <v>0</v>
      </c>
      <c r="E38" s="2"/>
      <c r="F38" s="19"/>
      <c r="G38" s="2"/>
      <c r="H38" s="2">
        <f>--18947.33</f>
        <v>18947.330000000002</v>
      </c>
      <c r="I38" s="2"/>
      <c r="J38" s="19"/>
      <c r="K38" s="2"/>
      <c r="L38" s="2">
        <f t="shared" si="0"/>
        <v>-18947.330000000002</v>
      </c>
      <c r="M38" s="2"/>
      <c r="N38" s="19">
        <f t="shared" si="1"/>
        <v>-1</v>
      </c>
      <c r="O38" s="11"/>
      <c r="P38" s="2">
        <f t="shared" si="7"/>
        <v>0</v>
      </c>
      <c r="Q38" s="2"/>
      <c r="R38" s="19"/>
      <c r="S38" s="2"/>
      <c r="T38" s="2">
        <f>--68662.69</f>
        <v>68662.69</v>
      </c>
      <c r="U38" s="2"/>
      <c r="V38" s="19"/>
      <c r="W38" s="2"/>
      <c r="X38" s="2">
        <f t="shared" si="2"/>
        <v>-68662.69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"4085", " - ", "TAXABLE SALES-SOFTWARE")</f>
        <v xml:space="preserve">          4085 - TAXABLE SALES-SOFTWARE</v>
      </c>
      <c r="C39" s="11"/>
      <c r="D39" s="2">
        <f t="shared" si="6"/>
        <v>0</v>
      </c>
      <c r="E39" s="2"/>
      <c r="F39" s="19"/>
      <c r="G39" s="2"/>
      <c r="H39" s="2">
        <f>--852.96</f>
        <v>852.96</v>
      </c>
      <c r="I39" s="2"/>
      <c r="J39" s="19"/>
      <c r="K39" s="2"/>
      <c r="L39" s="2">
        <f t="shared" si="0"/>
        <v>-852.96</v>
      </c>
      <c r="M39" s="2"/>
      <c r="N39" s="19">
        <f t="shared" si="1"/>
        <v>-1</v>
      </c>
      <c r="O39" s="11"/>
      <c r="P39" s="2">
        <f t="shared" si="7"/>
        <v>0</v>
      </c>
      <c r="Q39" s="2"/>
      <c r="R39" s="19"/>
      <c r="S39" s="2"/>
      <c r="T39" s="2">
        <f>--981.96</f>
        <v>981.96</v>
      </c>
      <c r="U39" s="2"/>
      <c r="V39" s="19"/>
      <c r="W39" s="2"/>
      <c r="X39" s="2">
        <f t="shared" si="2"/>
        <v>-981.96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"4086", " - ", "TAXABLE SALES-COMPUTER SUPPLIE")</f>
        <v xml:space="preserve">          4086 - TAXABLE SALES-COMPUTER SUPPLIE</v>
      </c>
      <c r="C40" s="11"/>
      <c r="D40" s="2">
        <f t="shared" si="6"/>
        <v>0</v>
      </c>
      <c r="E40" s="2"/>
      <c r="F40" s="19"/>
      <c r="G40" s="2"/>
      <c r="H40" s="2">
        <f>--713.93</f>
        <v>713.93</v>
      </c>
      <c r="I40" s="2"/>
      <c r="J40" s="19"/>
      <c r="K40" s="2"/>
      <c r="L40" s="2">
        <f t="shared" si="0"/>
        <v>-713.93</v>
      </c>
      <c r="M40" s="2"/>
      <c r="N40" s="19">
        <f t="shared" si="1"/>
        <v>-1</v>
      </c>
      <c r="O40" s="11"/>
      <c r="P40" s="2">
        <f t="shared" si="7"/>
        <v>0</v>
      </c>
      <c r="Q40" s="2"/>
      <c r="R40" s="19"/>
      <c r="S40" s="2"/>
      <c r="T40" s="2">
        <f>--27981.41</f>
        <v>27981.41</v>
      </c>
      <c r="U40" s="2"/>
      <c r="V40" s="19"/>
      <c r="W40" s="2"/>
      <c r="X40" s="2">
        <f t="shared" si="2"/>
        <v>-27981.41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"4100", " - ", "NON-TAXABLE SALES")</f>
        <v xml:space="preserve">          4100 - NON-TAXABLE SALES</v>
      </c>
      <c r="C41" s="11"/>
      <c r="D41" s="2">
        <f>--231457.89</f>
        <v>231457.89</v>
      </c>
      <c r="E41" s="2"/>
      <c r="F41" s="19"/>
      <c r="G41" s="2"/>
      <c r="H41" s="2">
        <f>--41155.69</f>
        <v>41155.69</v>
      </c>
      <c r="I41" s="2"/>
      <c r="J41" s="19"/>
      <c r="K41" s="2"/>
      <c r="L41" s="2">
        <f t="shared" si="0"/>
        <v>190302.2</v>
      </c>
      <c r="M41" s="2"/>
      <c r="N41" s="19">
        <f t="shared" si="1"/>
        <v>4.6239584368528384</v>
      </c>
      <c r="O41" s="11"/>
      <c r="P41" s="2">
        <f>--955288</f>
        <v>955288</v>
      </c>
      <c r="Q41" s="2"/>
      <c r="R41" s="19"/>
      <c r="S41" s="2"/>
      <c r="T41" s="2">
        <f>--282386.02</f>
        <v>282386.02</v>
      </c>
      <c r="U41" s="2"/>
      <c r="V41" s="19"/>
      <c r="W41" s="2"/>
      <c r="X41" s="2">
        <f t="shared" si="2"/>
        <v>672901.98</v>
      </c>
      <c r="Y41" s="2"/>
      <c r="Z41" s="19">
        <f t="shared" si="3"/>
        <v>2.3829153440386319</v>
      </c>
    </row>
    <row r="42" spans="1:26" s="24" customFormat="1" hidden="1" outlineLevel="1" x14ac:dyDescent="0.25">
      <c r="A42" s="44"/>
      <c r="B42" s="11" t="str">
        <f>CONCATENATE("          ", "4101", " - ", "NON-TAXABLE SALES-NEW TEXT")</f>
        <v xml:space="preserve">          4101 - NON-TAXABLE SALES-NEW TEXT</v>
      </c>
      <c r="C42" s="11"/>
      <c r="D42" s="2">
        <f t="shared" ref="D42:D54" si="8">0</f>
        <v>0</v>
      </c>
      <c r="E42" s="2"/>
      <c r="F42" s="19"/>
      <c r="G42" s="2"/>
      <c r="H42" s="2">
        <f>--18824.16</f>
        <v>18824.16</v>
      </c>
      <c r="I42" s="2"/>
      <c r="J42" s="19"/>
      <c r="K42" s="2"/>
      <c r="L42" s="2">
        <f t="shared" si="0"/>
        <v>-18824.16</v>
      </c>
      <c r="M42" s="2"/>
      <c r="N42" s="19">
        <f t="shared" si="1"/>
        <v>-1</v>
      </c>
      <c r="O42" s="11"/>
      <c r="P42" s="2">
        <f t="shared" ref="P42:P54" si="9">0</f>
        <v>0</v>
      </c>
      <c r="Q42" s="2"/>
      <c r="R42" s="19"/>
      <c r="S42" s="2"/>
      <c r="T42" s="2">
        <f>--70404.84</f>
        <v>70404.84</v>
      </c>
      <c r="U42" s="2"/>
      <c r="V42" s="19"/>
      <c r="W42" s="2"/>
      <c r="X42" s="2">
        <f t="shared" si="2"/>
        <v>-70404.84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"4102", " - ", "NON-TAXABLE SALES-USED TEXT")</f>
        <v xml:space="preserve">          4102 - NON-TAXABLE SALES-USED TEXT</v>
      </c>
      <c r="C43" s="11"/>
      <c r="D43" s="2">
        <f t="shared" si="8"/>
        <v>0</v>
      </c>
      <c r="E43" s="2"/>
      <c r="F43" s="19"/>
      <c r="G43" s="2"/>
      <c r="H43" s="2">
        <f>--8807.08</f>
        <v>8807.08</v>
      </c>
      <c r="I43" s="2"/>
      <c r="J43" s="19"/>
      <c r="K43" s="2"/>
      <c r="L43" s="2">
        <f t="shared" si="0"/>
        <v>-8807.08</v>
      </c>
      <c r="M43" s="2"/>
      <c r="N43" s="19">
        <f t="shared" si="1"/>
        <v>-1</v>
      </c>
      <c r="O43" s="11"/>
      <c r="P43" s="2">
        <f t="shared" si="9"/>
        <v>0</v>
      </c>
      <c r="Q43" s="2"/>
      <c r="R43" s="19"/>
      <c r="S43" s="2"/>
      <c r="T43" s="2">
        <f>--30370.82</f>
        <v>30370.82</v>
      </c>
      <c r="U43" s="2"/>
      <c r="V43" s="19"/>
      <c r="W43" s="2"/>
      <c r="X43" s="2">
        <f t="shared" si="2"/>
        <v>-30370.82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"4103", " - ", "NON-TAXABLE SALES-RENTAL TEXT")</f>
        <v xml:space="preserve">          4103 - NON-TAXABLE SALES-RENTAL TEXT</v>
      </c>
      <c r="C44" s="11"/>
      <c r="D44" s="2">
        <f t="shared" si="8"/>
        <v>0</v>
      </c>
      <c r="E44" s="2"/>
      <c r="F44" s="19"/>
      <c r="G44" s="2"/>
      <c r="H44" s="2">
        <f>--284.97</f>
        <v>284.97000000000003</v>
      </c>
      <c r="I44" s="2"/>
      <c r="J44" s="19"/>
      <c r="K44" s="2"/>
      <c r="L44" s="2">
        <f t="shared" si="0"/>
        <v>-284.97000000000003</v>
      </c>
      <c r="M44" s="2"/>
      <c r="N44" s="19">
        <f t="shared" si="1"/>
        <v>-1</v>
      </c>
      <c r="O44" s="11"/>
      <c r="P44" s="2">
        <f t="shared" si="9"/>
        <v>0</v>
      </c>
      <c r="Q44" s="2"/>
      <c r="R44" s="19"/>
      <c r="S44" s="2"/>
      <c r="T44" s="2">
        <f>--284.97</f>
        <v>284.97000000000003</v>
      </c>
      <c r="U44" s="2"/>
      <c r="V44" s="19"/>
      <c r="W44" s="2"/>
      <c r="X44" s="2">
        <f t="shared" si="2"/>
        <v>-284.97000000000003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"4104", " - ", "NON-TAXABLE SALES-DIGITAL TEXT")</f>
        <v xml:space="preserve">          4104 - NON-TAXABLE SALES-DIGITAL TEXT</v>
      </c>
      <c r="C45" s="11"/>
      <c r="D45" s="2">
        <f t="shared" si="8"/>
        <v>0</v>
      </c>
      <c r="E45" s="2"/>
      <c r="F45" s="19"/>
      <c r="G45" s="2"/>
      <c r="H45" s="2">
        <f>--73817.67</f>
        <v>73817.67</v>
      </c>
      <c r="I45" s="2"/>
      <c r="J45" s="19"/>
      <c r="K45" s="2"/>
      <c r="L45" s="2">
        <f t="shared" si="0"/>
        <v>-73817.67</v>
      </c>
      <c r="M45" s="2"/>
      <c r="N45" s="19">
        <f t="shared" si="1"/>
        <v>-1</v>
      </c>
      <c r="O45" s="11"/>
      <c r="P45" s="2">
        <f t="shared" si="9"/>
        <v>0</v>
      </c>
      <c r="Q45" s="2"/>
      <c r="R45" s="19"/>
      <c r="S45" s="2"/>
      <c r="T45" s="2">
        <f>--286707.85</f>
        <v>286707.84999999998</v>
      </c>
      <c r="U45" s="2"/>
      <c r="V45" s="19"/>
      <c r="W45" s="2"/>
      <c r="X45" s="2">
        <f t="shared" si="2"/>
        <v>-286707.84999999998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"4118", " - ", "NON-TAXABLE SALES-STUDY GUIDES")</f>
        <v xml:space="preserve">          4118 - NON-TAXABLE SALES-STUDY GUIDES</v>
      </c>
      <c r="C46" s="11"/>
      <c r="D46" s="2">
        <f t="shared" si="8"/>
        <v>0</v>
      </c>
      <c r="E46" s="2"/>
      <c r="F46" s="19"/>
      <c r="G46" s="2"/>
      <c r="H46" s="2">
        <f>--6.5</f>
        <v>6.5</v>
      </c>
      <c r="I46" s="2"/>
      <c r="J46" s="19"/>
      <c r="K46" s="2"/>
      <c r="L46" s="2">
        <f t="shared" si="0"/>
        <v>-6.5</v>
      </c>
      <c r="M46" s="2"/>
      <c r="N46" s="19">
        <f t="shared" si="1"/>
        <v>-1</v>
      </c>
      <c r="O46" s="11"/>
      <c r="P46" s="2">
        <f t="shared" si="9"/>
        <v>0</v>
      </c>
      <c r="Q46" s="2"/>
      <c r="R46" s="19"/>
      <c r="S46" s="2"/>
      <c r="T46" s="2">
        <f>--108.33</f>
        <v>108.33</v>
      </c>
      <c r="U46" s="2"/>
      <c r="V46" s="19"/>
      <c r="W46" s="2"/>
      <c r="X46" s="2">
        <f t="shared" si="2"/>
        <v>-108.33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"4126", " - ", "NON-TAXABLE SALES-WRITING INST")</f>
        <v xml:space="preserve">          4126 - NON-TAXABLE SALES-WRITING INST</v>
      </c>
      <c r="C47" s="11"/>
      <c r="D47" s="2">
        <f t="shared" si="8"/>
        <v>0</v>
      </c>
      <c r="E47" s="2"/>
      <c r="F47" s="19"/>
      <c r="G47" s="2"/>
      <c r="H47" s="2">
        <f>0</f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9"/>
        <v>0</v>
      </c>
      <c r="Q47" s="2"/>
      <c r="R47" s="19"/>
      <c r="S47" s="2"/>
      <c r="T47" s="2">
        <f>--52.68</f>
        <v>52.68</v>
      </c>
      <c r="U47" s="2"/>
      <c r="V47" s="19"/>
      <c r="W47" s="2"/>
      <c r="X47" s="2">
        <f t="shared" si="2"/>
        <v>-52.68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"4127", " - ", "NON-TAXABLE SALES-SCHOOL SUPPL")</f>
        <v xml:space="preserve">          4127 - NON-TAXABLE SALES-SCHOOL SUPPL</v>
      </c>
      <c r="C48" s="11"/>
      <c r="D48" s="2">
        <f t="shared" si="8"/>
        <v>0</v>
      </c>
      <c r="E48" s="2"/>
      <c r="F48" s="19"/>
      <c r="G48" s="2"/>
      <c r="H48" s="2">
        <f>--810.33</f>
        <v>810.33</v>
      </c>
      <c r="I48" s="2"/>
      <c r="J48" s="19"/>
      <c r="K48" s="2"/>
      <c r="L48" s="2">
        <f t="shared" si="0"/>
        <v>-810.33</v>
      </c>
      <c r="M48" s="2"/>
      <c r="N48" s="19">
        <f t="shared" si="1"/>
        <v>-1</v>
      </c>
      <c r="O48" s="11"/>
      <c r="P48" s="2">
        <f t="shared" si="9"/>
        <v>0</v>
      </c>
      <c r="Q48" s="2"/>
      <c r="R48" s="19"/>
      <c r="S48" s="2"/>
      <c r="T48" s="2">
        <f>--2670.74</f>
        <v>2670.74</v>
      </c>
      <c r="U48" s="2"/>
      <c r="V48" s="19"/>
      <c r="W48" s="2"/>
      <c r="X48" s="2">
        <f t="shared" si="2"/>
        <v>-2670.74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"4131", " - ", "NON-TAXABLE SALES-FOOD")</f>
        <v xml:space="preserve">          4131 - NON-TAXABLE SALES-FOOD</v>
      </c>
      <c r="C49" s="11"/>
      <c r="D49" s="2">
        <f t="shared" si="8"/>
        <v>0</v>
      </c>
      <c r="E49" s="2"/>
      <c r="F49" s="19"/>
      <c r="G49" s="2"/>
      <c r="H49" s="2">
        <f>--2168.74</f>
        <v>2168.7399999999998</v>
      </c>
      <c r="I49" s="2"/>
      <c r="J49" s="19"/>
      <c r="K49" s="2"/>
      <c r="L49" s="2">
        <f t="shared" si="0"/>
        <v>-2168.7399999999998</v>
      </c>
      <c r="M49" s="2"/>
      <c r="N49" s="19">
        <f t="shared" si="1"/>
        <v>-1</v>
      </c>
      <c r="O49" s="11"/>
      <c r="P49" s="2">
        <f t="shared" si="9"/>
        <v>0</v>
      </c>
      <c r="Q49" s="2"/>
      <c r="R49" s="19"/>
      <c r="S49" s="2"/>
      <c r="T49" s="2">
        <f>--4003.96</f>
        <v>4003.96</v>
      </c>
      <c r="U49" s="2"/>
      <c r="V49" s="19"/>
      <c r="W49" s="2"/>
      <c r="X49" s="2">
        <f t="shared" si="2"/>
        <v>-4003.96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"4132", " - ", "NON-TAXABLE SALES-JUICE")</f>
        <v xml:space="preserve">          4132 - NON-TAXABLE SALES-JUICE</v>
      </c>
      <c r="C50" s="11"/>
      <c r="D50" s="2">
        <f t="shared" si="8"/>
        <v>0</v>
      </c>
      <c r="E50" s="2"/>
      <c r="F50" s="19"/>
      <c r="G50" s="2"/>
      <c r="H50" s="2">
        <f>--1406.08</f>
        <v>1406.08</v>
      </c>
      <c r="I50" s="2"/>
      <c r="J50" s="19"/>
      <c r="K50" s="2"/>
      <c r="L50" s="2">
        <f t="shared" si="0"/>
        <v>-1406.08</v>
      </c>
      <c r="M50" s="2"/>
      <c r="N50" s="19">
        <f t="shared" si="1"/>
        <v>-1</v>
      </c>
      <c r="O50" s="11"/>
      <c r="P50" s="2">
        <f t="shared" si="9"/>
        <v>0</v>
      </c>
      <c r="Q50" s="2"/>
      <c r="R50" s="19"/>
      <c r="S50" s="2"/>
      <c r="T50" s="2">
        <f>--2054.37</f>
        <v>2054.37</v>
      </c>
      <c r="U50" s="2"/>
      <c r="V50" s="19"/>
      <c r="W50" s="2"/>
      <c r="X50" s="2">
        <f t="shared" si="2"/>
        <v>-2054.37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"4133", " - ", "NON-TAXABLE SALES-CANDY")</f>
        <v xml:space="preserve">          4133 - NON-TAXABLE SALES-CANDY</v>
      </c>
      <c r="C51" s="11"/>
      <c r="D51" s="2">
        <f t="shared" si="8"/>
        <v>0</v>
      </c>
      <c r="E51" s="2"/>
      <c r="F51" s="19"/>
      <c r="G51" s="2"/>
      <c r="H51" s="2">
        <f t="shared" ref="H51:H53" si="10"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 t="shared" si="9"/>
        <v>0</v>
      </c>
      <c r="Q51" s="2"/>
      <c r="R51" s="19"/>
      <c r="S51" s="2"/>
      <c r="T51" s="2">
        <f>--80.71</f>
        <v>80.709999999999994</v>
      </c>
      <c r="U51" s="2"/>
      <c r="V51" s="19"/>
      <c r="W51" s="2"/>
      <c r="X51" s="2">
        <f t="shared" si="2"/>
        <v>-80.709999999999994</v>
      </c>
      <c r="Y51" s="2"/>
      <c r="Z51" s="19">
        <f t="shared" si="3"/>
        <v>-1</v>
      </c>
    </row>
    <row r="52" spans="1:26" s="24" customFormat="1" hidden="1" outlineLevel="1" x14ac:dyDescent="0.25">
      <c r="A52" s="44"/>
      <c r="B52" s="11" t="str">
        <f>CONCATENATE("          ", "4134", " - ", "NON-TAXABLE SALES-SODA")</f>
        <v xml:space="preserve">          4134 - NON-TAXABLE SALES-SODA</v>
      </c>
      <c r="C52" s="11"/>
      <c r="D52" s="2">
        <f t="shared" si="8"/>
        <v>0</v>
      </c>
      <c r="E52" s="2"/>
      <c r="F52" s="19"/>
      <c r="G52" s="2"/>
      <c r="H52" s="2">
        <f t="shared" si="10"/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 t="shared" si="9"/>
        <v>0</v>
      </c>
      <c r="Q52" s="2"/>
      <c r="R52" s="19"/>
      <c r="S52" s="2"/>
      <c r="T52" s="2">
        <f>--45.53</f>
        <v>45.53</v>
      </c>
      <c r="U52" s="2"/>
      <c r="V52" s="19"/>
      <c r="W52" s="2"/>
      <c r="X52" s="2">
        <f t="shared" si="2"/>
        <v>-45.53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"4137", " - ", "NON-TAXABLE SALES-WATER")</f>
        <v xml:space="preserve">          4137 - NON-TAXABLE SALES-WATER</v>
      </c>
      <c r="C53" s="11"/>
      <c r="D53" s="2">
        <f t="shared" si="8"/>
        <v>0</v>
      </c>
      <c r="E53" s="2"/>
      <c r="F53" s="19"/>
      <c r="G53" s="2"/>
      <c r="H53" s="2">
        <f t="shared" si="10"/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9"/>
        <v>0</v>
      </c>
      <c r="Q53" s="2"/>
      <c r="R53" s="19"/>
      <c r="S53" s="2"/>
      <c r="T53" s="2">
        <f>--68.25</f>
        <v>68.25</v>
      </c>
      <c r="U53" s="2"/>
      <c r="V53" s="19"/>
      <c r="W53" s="2"/>
      <c r="X53" s="2">
        <f t="shared" si="2"/>
        <v>-68.25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"4140", " - ", "NON-TAXABLE SALES-LOGO CLOTHIN")</f>
        <v xml:space="preserve">          4140 - NON-TAXABLE SALES-LOGO CLOTHIN</v>
      </c>
      <c r="C54" s="11"/>
      <c r="D54" s="2">
        <f t="shared" si="8"/>
        <v>0</v>
      </c>
      <c r="E54" s="2"/>
      <c r="F54" s="19"/>
      <c r="G54" s="2"/>
      <c r="H54" s="2">
        <f>--3339.7</f>
        <v>3339.7</v>
      </c>
      <c r="I54" s="2"/>
      <c r="J54" s="19"/>
      <c r="K54" s="2"/>
      <c r="L54" s="2">
        <f t="shared" si="0"/>
        <v>-3339.7</v>
      </c>
      <c r="M54" s="2"/>
      <c r="N54" s="19">
        <f t="shared" si="1"/>
        <v>-1</v>
      </c>
      <c r="O54" s="11"/>
      <c r="P54" s="2">
        <f t="shared" si="9"/>
        <v>0</v>
      </c>
      <c r="Q54" s="2"/>
      <c r="R54" s="19"/>
      <c r="S54" s="2"/>
      <c r="T54" s="2">
        <f>--17452.44</f>
        <v>17452.439999999999</v>
      </c>
      <c r="U54" s="2"/>
      <c r="V54" s="19"/>
      <c r="W54" s="2"/>
      <c r="X54" s="2">
        <f t="shared" si="2"/>
        <v>-17452.439999999999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"4141", " - ", "NON-TAXABLE SALES-LOGO GIFTS")</f>
        <v xml:space="preserve">          4141 - NON-TAXABLE SALES-LOGO GIFTS</v>
      </c>
      <c r="C55" s="11"/>
      <c r="D55" s="2">
        <f>--71.05</f>
        <v>71.05</v>
      </c>
      <c r="E55" s="2"/>
      <c r="F55" s="19"/>
      <c r="G55" s="2"/>
      <c r="H55" s="2">
        <f>--555.74</f>
        <v>555.74</v>
      </c>
      <c r="I55" s="2"/>
      <c r="J55" s="19"/>
      <c r="K55" s="2"/>
      <c r="L55" s="2">
        <f t="shared" si="0"/>
        <v>-484.69</v>
      </c>
      <c r="M55" s="2"/>
      <c r="N55" s="19">
        <f t="shared" si="1"/>
        <v>-0.87215244538813108</v>
      </c>
      <c r="O55" s="11"/>
      <c r="P55" s="2">
        <f>--460.55</f>
        <v>460.55</v>
      </c>
      <c r="Q55" s="2"/>
      <c r="R55" s="19"/>
      <c r="S55" s="2"/>
      <c r="T55" s="2">
        <f>--2944.99</f>
        <v>2944.99</v>
      </c>
      <c r="U55" s="2"/>
      <c r="V55" s="19"/>
      <c r="W55" s="2"/>
      <c r="X55" s="2">
        <f t="shared" si="2"/>
        <v>-2484.4399999999996</v>
      </c>
      <c r="Y55" s="2"/>
      <c r="Z55" s="19">
        <f t="shared" si="3"/>
        <v>-0.84361576779547631</v>
      </c>
    </row>
    <row r="56" spans="1:26" s="24" customFormat="1" hidden="1" outlineLevel="1" x14ac:dyDescent="0.25">
      <c r="A56" s="44"/>
      <c r="B56" s="11" t="str">
        <f>CONCATENATE("          ", "4142", " - ", "NON-TAXABLE SALES-EVERYDAY GIF")</f>
        <v xml:space="preserve">          4142 - NON-TAXABLE SALES-EVERYDAY GIF</v>
      </c>
      <c r="C56" s="11"/>
      <c r="D56" s="2">
        <f t="shared" ref="D56:D59" si="11">0</f>
        <v>0</v>
      </c>
      <c r="E56" s="2"/>
      <c r="F56" s="19"/>
      <c r="G56" s="2"/>
      <c r="H56" s="2">
        <f>--30.16</f>
        <v>30.16</v>
      </c>
      <c r="I56" s="2"/>
      <c r="J56" s="19"/>
      <c r="K56" s="2"/>
      <c r="L56" s="2">
        <f t="shared" si="0"/>
        <v>-30.16</v>
      </c>
      <c r="M56" s="2"/>
      <c r="N56" s="19">
        <f t="shared" si="1"/>
        <v>-1</v>
      </c>
      <c r="O56" s="11"/>
      <c r="P56" s="2">
        <f t="shared" ref="P56:P59" si="12">0</f>
        <v>0</v>
      </c>
      <c r="Q56" s="2"/>
      <c r="R56" s="19"/>
      <c r="S56" s="2"/>
      <c r="T56" s="2">
        <f>--1009.73</f>
        <v>1009.73</v>
      </c>
      <c r="U56" s="2"/>
      <c r="V56" s="19"/>
      <c r="W56" s="2"/>
      <c r="X56" s="2">
        <f t="shared" si="2"/>
        <v>-1009.73</v>
      </c>
      <c r="Y56" s="2"/>
      <c r="Z56" s="19">
        <f t="shared" si="3"/>
        <v>-1</v>
      </c>
    </row>
    <row r="57" spans="1:26" s="24" customFormat="1" hidden="1" outlineLevel="1" x14ac:dyDescent="0.25">
      <c r="A57" s="44"/>
      <c r="B57" s="11" t="str">
        <f>CONCATENATE("          ", "4143", " - ", "NON-TAXABLE SALES-CARDS")</f>
        <v xml:space="preserve">          4143 - NON-TAXABLE SALES-CARDS</v>
      </c>
      <c r="C57" s="11"/>
      <c r="D57" s="2">
        <f t="shared" si="11"/>
        <v>0</v>
      </c>
      <c r="E57" s="2"/>
      <c r="F57" s="19"/>
      <c r="G57" s="2"/>
      <c r="H57" s="2">
        <f>0</f>
        <v>0</v>
      </c>
      <c r="I57" s="2"/>
      <c r="J57" s="19"/>
      <c r="K57" s="2"/>
      <c r="L57" s="2">
        <f t="shared" si="0"/>
        <v>0</v>
      </c>
      <c r="M57" s="2"/>
      <c r="N57" s="19">
        <f t="shared" si="1"/>
        <v>0</v>
      </c>
      <c r="O57" s="11"/>
      <c r="P57" s="2">
        <f t="shared" si="12"/>
        <v>0</v>
      </c>
      <c r="Q57" s="2"/>
      <c r="R57" s="19"/>
      <c r="S57" s="2"/>
      <c r="T57" s="2">
        <f>--19.98</f>
        <v>19.98</v>
      </c>
      <c r="U57" s="2"/>
      <c r="V57" s="19"/>
      <c r="W57" s="2"/>
      <c r="X57" s="2">
        <f t="shared" si="2"/>
        <v>-19.98</v>
      </c>
      <c r="Y57" s="2"/>
      <c r="Z57" s="19">
        <f t="shared" si="3"/>
        <v>-1</v>
      </c>
    </row>
    <row r="58" spans="1:26" s="24" customFormat="1" hidden="1" outlineLevel="1" x14ac:dyDescent="0.25">
      <c r="A58" s="44"/>
      <c r="B58" s="11" t="str">
        <f>CONCATENATE("          ", "4144", " - ", "NON-TAXABLE SALES-ACCESSORIES")</f>
        <v xml:space="preserve">          4144 - NON-TAXABLE SALES-ACCESSORIES</v>
      </c>
      <c r="C58" s="11"/>
      <c r="D58" s="2">
        <f t="shared" si="11"/>
        <v>0</v>
      </c>
      <c r="E58" s="2"/>
      <c r="F58" s="19"/>
      <c r="G58" s="2"/>
      <c r="H58" s="2">
        <f>--59.95</f>
        <v>59.95</v>
      </c>
      <c r="I58" s="2"/>
      <c r="J58" s="19"/>
      <c r="K58" s="2"/>
      <c r="L58" s="2">
        <f t="shared" si="0"/>
        <v>-59.95</v>
      </c>
      <c r="M58" s="2"/>
      <c r="N58" s="19">
        <f t="shared" si="1"/>
        <v>-1</v>
      </c>
      <c r="O58" s="11"/>
      <c r="P58" s="2">
        <f t="shared" si="12"/>
        <v>0</v>
      </c>
      <c r="Q58" s="2"/>
      <c r="R58" s="19"/>
      <c r="S58" s="2"/>
      <c r="T58" s="2">
        <f>--215.75</f>
        <v>215.75</v>
      </c>
      <c r="U58" s="2"/>
      <c r="V58" s="19"/>
      <c r="W58" s="2"/>
      <c r="X58" s="2">
        <f t="shared" si="2"/>
        <v>-215.75</v>
      </c>
      <c r="Y58" s="2"/>
      <c r="Z58" s="19">
        <f t="shared" si="3"/>
        <v>-1</v>
      </c>
    </row>
    <row r="59" spans="1:26" s="24" customFormat="1" hidden="1" outlineLevel="1" x14ac:dyDescent="0.25">
      <c r="A59" s="44"/>
      <c r="B59" s="11" t="str">
        <f>CONCATENATE("          ", "4145", " - ", "NON-TAXABLE SALES-SPECIAL ORDE")</f>
        <v xml:space="preserve">          4145 - NON-TAXABLE SALES-SPECIAL ORDE</v>
      </c>
      <c r="C59" s="11"/>
      <c r="D59" s="2">
        <f t="shared" si="11"/>
        <v>0</v>
      </c>
      <c r="E59" s="2"/>
      <c r="F59" s="19"/>
      <c r="G59" s="2"/>
      <c r="H59" s="2">
        <f>0</f>
        <v>0</v>
      </c>
      <c r="I59" s="2"/>
      <c r="J59" s="19"/>
      <c r="K59" s="2"/>
      <c r="L59" s="2">
        <f t="shared" si="0"/>
        <v>0</v>
      </c>
      <c r="M59" s="2"/>
      <c r="N59" s="19">
        <f t="shared" si="1"/>
        <v>0</v>
      </c>
      <c r="O59" s="11"/>
      <c r="P59" s="2">
        <f t="shared" si="12"/>
        <v>0</v>
      </c>
      <c r="Q59" s="2"/>
      <c r="R59" s="19"/>
      <c r="S59" s="2"/>
      <c r="T59" s="2">
        <f>--35846</f>
        <v>35846</v>
      </c>
      <c r="U59" s="2"/>
      <c r="V59" s="19"/>
      <c r="W59" s="2"/>
      <c r="X59" s="2">
        <f t="shared" si="2"/>
        <v>-35846</v>
      </c>
      <c r="Y59" s="2"/>
      <c r="Z59" s="19">
        <f t="shared" si="3"/>
        <v>-1</v>
      </c>
    </row>
    <row r="60" spans="1:26" s="24" customFormat="1" hidden="1" outlineLevel="1" x14ac:dyDescent="0.25">
      <c r="A60" s="44"/>
      <c r="B60" s="11" t="str">
        <f>CONCATENATE("          ", "4146", " - ", "NON-TAXABLE SALES-COIN OP MACH")</f>
        <v xml:space="preserve">          4146 - NON-TAXABLE SALES-COIN OP MACH</v>
      </c>
      <c r="C60" s="11"/>
      <c r="D60" s="2">
        <f>--4759.35</f>
        <v>4759.3500000000004</v>
      </c>
      <c r="E60" s="2"/>
      <c r="F60" s="19"/>
      <c r="G60" s="2"/>
      <c r="H60" s="2">
        <f>--49.7</f>
        <v>49.7</v>
      </c>
      <c r="I60" s="2"/>
      <c r="J60" s="19"/>
      <c r="K60" s="2"/>
      <c r="L60" s="2">
        <f t="shared" si="0"/>
        <v>4709.6500000000005</v>
      </c>
      <c r="M60" s="2"/>
      <c r="N60" s="19">
        <f t="shared" si="1"/>
        <v>94.761569416499</v>
      </c>
      <c r="O60" s="11"/>
      <c r="P60" s="2">
        <f>--7492.95</f>
        <v>7492.95</v>
      </c>
      <c r="Q60" s="2"/>
      <c r="R60" s="19"/>
      <c r="S60" s="2"/>
      <c r="T60" s="2">
        <f>--65.2</f>
        <v>65.2</v>
      </c>
      <c r="U60" s="2"/>
      <c r="V60" s="19"/>
      <c r="W60" s="2"/>
      <c r="X60" s="2">
        <f t="shared" si="2"/>
        <v>7427.75</v>
      </c>
      <c r="Y60" s="2"/>
      <c r="Z60" s="19">
        <f t="shared" si="3"/>
        <v>113.92254601226993</v>
      </c>
    </row>
    <row r="61" spans="1:26" s="24" customFormat="1" hidden="1" outlineLevel="1" x14ac:dyDescent="0.25">
      <c r="A61" s="44"/>
      <c r="B61" s="11" t="str">
        <f>CONCATENATE("          ", "4147", " - ", "NON-TAXABLE SALES-MISC")</f>
        <v xml:space="preserve">          4147 - NON-TAXABLE SALES-MISC</v>
      </c>
      <c r="C61" s="11"/>
      <c r="D61" s="2">
        <f>0</f>
        <v>0</v>
      </c>
      <c r="E61" s="2"/>
      <c r="F61" s="19"/>
      <c r="G61" s="2"/>
      <c r="H61" s="2">
        <f>--24</f>
        <v>24</v>
      </c>
      <c r="I61" s="2"/>
      <c r="J61" s="19"/>
      <c r="K61" s="2"/>
      <c r="L61" s="2">
        <f t="shared" si="0"/>
        <v>-24</v>
      </c>
      <c r="M61" s="2"/>
      <c r="N61" s="19">
        <f t="shared" si="1"/>
        <v>-1</v>
      </c>
      <c r="O61" s="11"/>
      <c r="P61" s="2">
        <f>0</f>
        <v>0</v>
      </c>
      <c r="Q61" s="2"/>
      <c r="R61" s="19"/>
      <c r="S61" s="2"/>
      <c r="T61" s="2">
        <f>--48</f>
        <v>48</v>
      </c>
      <c r="U61" s="2"/>
      <c r="V61" s="19"/>
      <c r="W61" s="2"/>
      <c r="X61" s="2">
        <f t="shared" si="2"/>
        <v>-48</v>
      </c>
      <c r="Y61" s="2"/>
      <c r="Z61" s="19">
        <f t="shared" si="3"/>
        <v>-1</v>
      </c>
    </row>
    <row r="62" spans="1:26" s="24" customFormat="1" hidden="1" outlineLevel="1" x14ac:dyDescent="0.25">
      <c r="A62" s="44"/>
      <c r="B62" s="11" t="str">
        <f>CONCATENATE("          ", "4151", " - ", "NON-TAXABLE SALES-FOOD")</f>
        <v xml:space="preserve">          4151 - NON-TAXABLE SALES-FOOD</v>
      </c>
      <c r="C62" s="11"/>
      <c r="D62" s="2">
        <f>--1509200.13</f>
        <v>1509200.13</v>
      </c>
      <c r="E62" s="2"/>
      <c r="F62" s="19"/>
      <c r="G62" s="2"/>
      <c r="H62" s="2">
        <f>--223549.77</f>
        <v>223549.77</v>
      </c>
      <c r="I62" s="2"/>
      <c r="J62" s="19"/>
      <c r="K62" s="2"/>
      <c r="L62" s="2">
        <f t="shared" si="0"/>
        <v>1285650.3599999999</v>
      </c>
      <c r="M62" s="2"/>
      <c r="N62" s="19">
        <f t="shared" si="1"/>
        <v>5.7510699295284446</v>
      </c>
      <c r="O62" s="11"/>
      <c r="P62" s="2">
        <f>--2036563.48</f>
        <v>2036563.48</v>
      </c>
      <c r="Q62" s="2"/>
      <c r="R62" s="19"/>
      <c r="S62" s="2"/>
      <c r="T62" s="2">
        <f>--267608.67</f>
        <v>267608.67</v>
      </c>
      <c r="U62" s="2"/>
      <c r="V62" s="19"/>
      <c r="W62" s="2"/>
      <c r="X62" s="2">
        <f t="shared" si="2"/>
        <v>1768954.81</v>
      </c>
      <c r="Y62" s="2"/>
      <c r="Z62" s="19">
        <f t="shared" si="3"/>
        <v>6.610229818039902</v>
      </c>
    </row>
    <row r="63" spans="1:26" s="24" customFormat="1" hidden="1" outlineLevel="1" x14ac:dyDescent="0.25">
      <c r="A63" s="44"/>
      <c r="B63" s="11" t="str">
        <f>CONCATENATE("          ", "4153", " - ", "NON-TAXABLE SALES-FOOD")</f>
        <v xml:space="preserve">          4153 - NON-TAXABLE SALES-FOOD</v>
      </c>
      <c r="C63" s="11"/>
      <c r="D63" s="2">
        <f>--13078.96</f>
        <v>13078.96</v>
      </c>
      <c r="E63" s="2"/>
      <c r="F63" s="19"/>
      <c r="G63" s="2"/>
      <c r="H63" s="2">
        <f>--3278.36</f>
        <v>3278.36</v>
      </c>
      <c r="I63" s="2"/>
      <c r="J63" s="19"/>
      <c r="K63" s="2"/>
      <c r="L63" s="2">
        <f t="shared" si="0"/>
        <v>9800.5999999999985</v>
      </c>
      <c r="M63" s="2"/>
      <c r="N63" s="19">
        <f t="shared" si="1"/>
        <v>2.9894825461511236</v>
      </c>
      <c r="O63" s="11"/>
      <c r="P63" s="2">
        <f>--32277.33</f>
        <v>32277.33</v>
      </c>
      <c r="Q63" s="2"/>
      <c r="R63" s="19"/>
      <c r="S63" s="2"/>
      <c r="T63" s="2">
        <f>--30353.78</f>
        <v>30353.78</v>
      </c>
      <c r="U63" s="2"/>
      <c r="V63" s="19"/>
      <c r="W63" s="2"/>
      <c r="X63" s="2">
        <f t="shared" si="2"/>
        <v>1923.5500000000029</v>
      </c>
      <c r="Y63" s="2"/>
      <c r="Z63" s="19">
        <f t="shared" si="3"/>
        <v>6.3371020017935265E-2</v>
      </c>
    </row>
    <row r="64" spans="1:26" s="24" customFormat="1" hidden="1" outlineLevel="1" x14ac:dyDescent="0.25">
      <c r="A64" s="44"/>
      <c r="B64" s="11" t="str">
        <f>CONCATENATE("          ", "4181", " - ", "NON-TAXABLE SALES-ELECTRONICS")</f>
        <v xml:space="preserve">          4181 - NON-TAXABLE SALES-ELECTRONICS</v>
      </c>
      <c r="C64" s="11"/>
      <c r="D64" s="2">
        <f t="shared" ref="D64:D68" si="13">0</f>
        <v>0</v>
      </c>
      <c r="E64" s="2"/>
      <c r="F64" s="19"/>
      <c r="G64" s="2"/>
      <c r="H64" s="2">
        <f>--669.89</f>
        <v>669.89</v>
      </c>
      <c r="I64" s="2"/>
      <c r="J64" s="19"/>
      <c r="K64" s="2"/>
      <c r="L64" s="2">
        <f t="shared" si="0"/>
        <v>-669.89</v>
      </c>
      <c r="M64" s="2"/>
      <c r="N64" s="19">
        <f t="shared" si="1"/>
        <v>-1</v>
      </c>
      <c r="O64" s="11"/>
      <c r="P64" s="2">
        <f t="shared" ref="P64:P68" si="14">0</f>
        <v>0</v>
      </c>
      <c r="Q64" s="2"/>
      <c r="R64" s="19"/>
      <c r="S64" s="2"/>
      <c r="T64" s="2">
        <f>--3309.16</f>
        <v>3309.16</v>
      </c>
      <c r="U64" s="2"/>
      <c r="V64" s="19"/>
      <c r="W64" s="2"/>
      <c r="X64" s="2">
        <f t="shared" si="2"/>
        <v>-3309.16</v>
      </c>
      <c r="Y64" s="2"/>
      <c r="Z64" s="19">
        <f t="shared" si="3"/>
        <v>-1</v>
      </c>
    </row>
    <row r="65" spans="1:26" s="24" customFormat="1" hidden="1" outlineLevel="1" x14ac:dyDescent="0.25">
      <c r="A65" s="44"/>
      <c r="B65" s="11" t="str">
        <f>CONCATENATE("          ", "4182", " - ", "NON-TAXABLE SALES-COMPUTER HAR")</f>
        <v xml:space="preserve">          4182 - NON-TAXABLE SALES-COMPUTER HAR</v>
      </c>
      <c r="C65" s="11"/>
      <c r="D65" s="2">
        <f t="shared" si="13"/>
        <v>0</v>
      </c>
      <c r="E65" s="2"/>
      <c r="F65" s="19"/>
      <c r="G65" s="2"/>
      <c r="H65" s="2">
        <f>--38657</f>
        <v>38657</v>
      </c>
      <c r="I65" s="2"/>
      <c r="J65" s="19"/>
      <c r="K65" s="2"/>
      <c r="L65" s="2">
        <f t="shared" si="0"/>
        <v>-38657</v>
      </c>
      <c r="M65" s="2"/>
      <c r="N65" s="19">
        <f t="shared" si="1"/>
        <v>-1</v>
      </c>
      <c r="O65" s="11"/>
      <c r="P65" s="2">
        <f t="shared" si="14"/>
        <v>0</v>
      </c>
      <c r="Q65" s="2"/>
      <c r="R65" s="19"/>
      <c r="S65" s="2"/>
      <c r="T65" s="2">
        <f>--120724.38</f>
        <v>120724.38</v>
      </c>
      <c r="U65" s="2"/>
      <c r="V65" s="19"/>
      <c r="W65" s="2"/>
      <c r="X65" s="2">
        <f t="shared" si="2"/>
        <v>-120724.38</v>
      </c>
      <c r="Y65" s="2"/>
      <c r="Z65" s="19">
        <f t="shared" si="3"/>
        <v>-1</v>
      </c>
    </row>
    <row r="66" spans="1:26" s="24" customFormat="1" hidden="1" outlineLevel="1" x14ac:dyDescent="0.25">
      <c r="A66" s="44"/>
      <c r="B66" s="11" t="str">
        <f>CONCATENATE("          ", "4183", " - ", "NON-TAXABLE SALES-COMPUTER EQU")</f>
        <v xml:space="preserve">          4183 - NON-TAXABLE SALES-COMPUTER EQU</v>
      </c>
      <c r="C66" s="11"/>
      <c r="D66" s="2">
        <f t="shared" si="13"/>
        <v>0</v>
      </c>
      <c r="E66" s="2"/>
      <c r="F66" s="19"/>
      <c r="G66" s="2"/>
      <c r="H66" s="2">
        <f>--1946.8</f>
        <v>1946.8</v>
      </c>
      <c r="I66" s="2"/>
      <c r="J66" s="19"/>
      <c r="K66" s="2"/>
      <c r="L66" s="2">
        <f t="shared" si="0"/>
        <v>-1946.8</v>
      </c>
      <c r="M66" s="2"/>
      <c r="N66" s="19">
        <f t="shared" si="1"/>
        <v>-1</v>
      </c>
      <c r="O66" s="11"/>
      <c r="P66" s="2">
        <f t="shared" si="14"/>
        <v>0</v>
      </c>
      <c r="Q66" s="2"/>
      <c r="R66" s="19"/>
      <c r="S66" s="2"/>
      <c r="T66" s="2">
        <f>--5066.48</f>
        <v>5066.4799999999996</v>
      </c>
      <c r="U66" s="2"/>
      <c r="V66" s="19"/>
      <c r="W66" s="2"/>
      <c r="X66" s="2">
        <f t="shared" si="2"/>
        <v>-5066.4799999999996</v>
      </c>
      <c r="Y66" s="2"/>
      <c r="Z66" s="19">
        <f t="shared" si="3"/>
        <v>-1</v>
      </c>
    </row>
    <row r="67" spans="1:26" s="24" customFormat="1" hidden="1" outlineLevel="1" x14ac:dyDescent="0.25">
      <c r="A67" s="44"/>
      <c r="B67" s="11" t="str">
        <f>CONCATENATE("          ", "4185", " - ", "NON-TAXABLE SALES-SOFTWARE")</f>
        <v xml:space="preserve">          4185 - NON-TAXABLE SALES-SOFTWARE</v>
      </c>
      <c r="C67" s="11"/>
      <c r="D67" s="2">
        <f t="shared" si="13"/>
        <v>0</v>
      </c>
      <c r="E67" s="2"/>
      <c r="F67" s="19"/>
      <c r="G67" s="2"/>
      <c r="H67" s="2">
        <f>--8427.6</f>
        <v>8427.6</v>
      </c>
      <c r="I67" s="2"/>
      <c r="J67" s="19"/>
      <c r="K67" s="2"/>
      <c r="L67" s="2">
        <f t="shared" si="0"/>
        <v>-8427.6</v>
      </c>
      <c r="M67" s="2"/>
      <c r="N67" s="19">
        <f t="shared" si="1"/>
        <v>-1</v>
      </c>
      <c r="O67" s="11"/>
      <c r="P67" s="2">
        <f t="shared" si="14"/>
        <v>0</v>
      </c>
      <c r="Q67" s="2"/>
      <c r="R67" s="19"/>
      <c r="S67" s="2"/>
      <c r="T67" s="2">
        <f>--19226.09</f>
        <v>19226.09</v>
      </c>
      <c r="U67" s="2"/>
      <c r="V67" s="19"/>
      <c r="W67" s="2"/>
      <c r="X67" s="2">
        <f t="shared" si="2"/>
        <v>-19226.09</v>
      </c>
      <c r="Y67" s="2"/>
      <c r="Z67" s="19">
        <f t="shared" si="3"/>
        <v>-1</v>
      </c>
    </row>
    <row r="68" spans="1:26" s="24" customFormat="1" hidden="1" outlineLevel="1" x14ac:dyDescent="0.25">
      <c r="A68" s="44"/>
      <c r="B68" s="11" t="str">
        <f>CONCATENATE("          ", "4186", " - ", "NON-TAXABLE SALES-COMPUTER SUP")</f>
        <v xml:space="preserve">          4186 - NON-TAXABLE SALES-COMPUTER SUP</v>
      </c>
      <c r="C68" s="11"/>
      <c r="D68" s="2">
        <f t="shared" si="13"/>
        <v>0</v>
      </c>
      <c r="E68" s="2"/>
      <c r="F68" s="19"/>
      <c r="G68" s="2"/>
      <c r="H68" s="2">
        <f>--460.89</f>
        <v>460.89</v>
      </c>
      <c r="I68" s="2"/>
      <c r="J68" s="19"/>
      <c r="K68" s="2"/>
      <c r="L68" s="2">
        <f t="shared" si="0"/>
        <v>-460.89</v>
      </c>
      <c r="M68" s="2"/>
      <c r="N68" s="19">
        <f t="shared" si="1"/>
        <v>-1</v>
      </c>
      <c r="O68" s="11"/>
      <c r="P68" s="2">
        <f t="shared" si="14"/>
        <v>0</v>
      </c>
      <c r="Q68" s="2"/>
      <c r="R68" s="19"/>
      <c r="S68" s="2"/>
      <c r="T68" s="2">
        <f>--873.79</f>
        <v>873.79</v>
      </c>
      <c r="U68" s="2"/>
      <c r="V68" s="19"/>
      <c r="W68" s="2"/>
      <c r="X68" s="2">
        <f t="shared" si="2"/>
        <v>-873.79</v>
      </c>
      <c r="Y68" s="2"/>
      <c r="Z68" s="19">
        <f t="shared" si="3"/>
        <v>-1</v>
      </c>
    </row>
    <row r="69" spans="1:26" s="24" customFormat="1" hidden="1" outlineLevel="1" x14ac:dyDescent="0.25">
      <c r="A69" s="44"/>
      <c r="B69" s="11" t="str">
        <f>CONCATENATE("          ", "4200", " - ", "TAXABLE RETURNS")</f>
        <v xml:space="preserve">          4200 - TAXABLE RETURNS</v>
      </c>
      <c r="C69" s="11"/>
      <c r="D69" s="2">
        <f>-43203.32</f>
        <v>-43203.32</v>
      </c>
      <c r="E69" s="2"/>
      <c r="F69" s="19"/>
      <c r="G69" s="2"/>
      <c r="H69" s="2">
        <f>0</f>
        <v>0</v>
      </c>
      <c r="I69" s="2"/>
      <c r="J69" s="19"/>
      <c r="K69" s="2"/>
      <c r="L69" s="2">
        <f t="shared" si="0"/>
        <v>-43203.32</v>
      </c>
      <c r="M69" s="2"/>
      <c r="N69" s="19">
        <f t="shared" si="1"/>
        <v>0</v>
      </c>
      <c r="O69" s="11"/>
      <c r="P69" s="2">
        <f>-128627.07</f>
        <v>-128627.07</v>
      </c>
      <c r="Q69" s="2"/>
      <c r="R69" s="19"/>
      <c r="S69" s="2"/>
      <c r="T69" s="2">
        <f>0</f>
        <v>0</v>
      </c>
      <c r="U69" s="2"/>
      <c r="V69" s="19"/>
      <c r="W69" s="2"/>
      <c r="X69" s="2">
        <f t="shared" si="2"/>
        <v>-128627.07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"4201", " - ", "SALES RETURN TAXABLE-NEW TEXT")</f>
        <v xml:space="preserve">          4201 - SALES RETURN TAXABLE-NEW TEXT</v>
      </c>
      <c r="C70" s="11"/>
      <c r="D70" s="2">
        <f t="shared" ref="D70:D86" si="15">0</f>
        <v>0</v>
      </c>
      <c r="E70" s="2"/>
      <c r="F70" s="19"/>
      <c r="G70" s="2"/>
      <c r="H70" s="2">
        <f>-13393.2</f>
        <v>-13393.2</v>
      </c>
      <c r="I70" s="2"/>
      <c r="J70" s="19"/>
      <c r="K70" s="2"/>
      <c r="L70" s="2">
        <f t="shared" si="0"/>
        <v>13393.2</v>
      </c>
      <c r="M70" s="2"/>
      <c r="N70" s="19">
        <f t="shared" si="1"/>
        <v>-1</v>
      </c>
      <c r="O70" s="11"/>
      <c r="P70" s="2">
        <f t="shared" ref="P70:P86" si="16">0</f>
        <v>0</v>
      </c>
      <c r="Q70" s="2"/>
      <c r="R70" s="19"/>
      <c r="S70" s="2"/>
      <c r="T70" s="2">
        <f>-32248.99</f>
        <v>-32248.99</v>
      </c>
      <c r="U70" s="2"/>
      <c r="V70" s="19"/>
      <c r="W70" s="2"/>
      <c r="X70" s="2">
        <f t="shared" si="2"/>
        <v>32248.99</v>
      </c>
      <c r="Y70" s="2"/>
      <c r="Z70" s="19">
        <f t="shared" si="3"/>
        <v>-1</v>
      </c>
    </row>
    <row r="71" spans="1:26" s="24" customFormat="1" hidden="1" outlineLevel="1" x14ac:dyDescent="0.25">
      <c r="A71" s="44"/>
      <c r="B71" s="11" t="str">
        <f>CONCATENATE("          ", "4202", " - ", "SALES RETURN TAXABLE-USED TEXT")</f>
        <v xml:space="preserve">          4202 - SALES RETURN TAXABLE-USED TEXT</v>
      </c>
      <c r="C71" s="11"/>
      <c r="D71" s="2">
        <f t="shared" si="15"/>
        <v>0</v>
      </c>
      <c r="E71" s="2"/>
      <c r="F71" s="19"/>
      <c r="G71" s="2"/>
      <c r="H71" s="2">
        <f>-1345.2</f>
        <v>-1345.2</v>
      </c>
      <c r="I71" s="2"/>
      <c r="J71" s="19"/>
      <c r="K71" s="2"/>
      <c r="L71" s="2">
        <f t="shared" si="0"/>
        <v>1345.2</v>
      </c>
      <c r="M71" s="2"/>
      <c r="N71" s="19">
        <f t="shared" si="1"/>
        <v>-1</v>
      </c>
      <c r="O71" s="11"/>
      <c r="P71" s="2">
        <f t="shared" si="16"/>
        <v>0</v>
      </c>
      <c r="Q71" s="2"/>
      <c r="R71" s="19"/>
      <c r="S71" s="2"/>
      <c r="T71" s="2">
        <f>-10392.95</f>
        <v>-10392.950000000001</v>
      </c>
      <c r="U71" s="2"/>
      <c r="V71" s="19"/>
      <c r="W71" s="2"/>
      <c r="X71" s="2">
        <f t="shared" si="2"/>
        <v>10392.950000000001</v>
      </c>
      <c r="Y71" s="2"/>
      <c r="Z71" s="19">
        <f t="shared" si="3"/>
        <v>-1</v>
      </c>
    </row>
    <row r="72" spans="1:26" s="24" customFormat="1" hidden="1" outlineLevel="1" x14ac:dyDescent="0.25">
      <c r="A72" s="44"/>
      <c r="B72" s="11" t="str">
        <f>CONCATENATE("          ", "4204", " - ", "SALES RETURN TAXABLE-DIGITAL T")</f>
        <v xml:space="preserve">          4204 - SALES RETURN TAXABLE-DIGITAL T</v>
      </c>
      <c r="C72" s="11"/>
      <c r="D72" s="2">
        <f t="shared" si="15"/>
        <v>0</v>
      </c>
      <c r="E72" s="2"/>
      <c r="F72" s="19"/>
      <c r="G72" s="2"/>
      <c r="H72" s="2">
        <f>-105.87</f>
        <v>-105.87</v>
      </c>
      <c r="I72" s="2"/>
      <c r="J72" s="19"/>
      <c r="K72" s="2"/>
      <c r="L72" s="2">
        <f t="shared" si="0"/>
        <v>105.87</v>
      </c>
      <c r="M72" s="2"/>
      <c r="N72" s="19">
        <f t="shared" si="1"/>
        <v>-1</v>
      </c>
      <c r="O72" s="11"/>
      <c r="P72" s="2">
        <f t="shared" si="16"/>
        <v>0</v>
      </c>
      <c r="Q72" s="2"/>
      <c r="R72" s="19"/>
      <c r="S72" s="2"/>
      <c r="T72" s="2">
        <f>-1246.95</f>
        <v>-1246.95</v>
      </c>
      <c r="U72" s="2"/>
      <c r="V72" s="19"/>
      <c r="W72" s="2"/>
      <c r="X72" s="2">
        <f t="shared" si="2"/>
        <v>1246.95</v>
      </c>
      <c r="Y72" s="2"/>
      <c r="Z72" s="19">
        <f t="shared" si="3"/>
        <v>-1</v>
      </c>
    </row>
    <row r="73" spans="1:26" s="24" customFormat="1" hidden="1" outlineLevel="1" x14ac:dyDescent="0.25">
      <c r="A73" s="44"/>
      <c r="B73" s="11" t="str">
        <f>CONCATENATE("          ", "4226", " - ", "SALES RETURN TAXABLE-WRITING I")</f>
        <v xml:space="preserve">          4226 - SALES RETURN TAXABLE-WRITING I</v>
      </c>
      <c r="C73" s="11"/>
      <c r="D73" s="2">
        <f t="shared" si="15"/>
        <v>0</v>
      </c>
      <c r="E73" s="2"/>
      <c r="F73" s="19"/>
      <c r="G73" s="2"/>
      <c r="H73" s="2">
        <f>-22.49</f>
        <v>-22.49</v>
      </c>
      <c r="I73" s="2"/>
      <c r="J73" s="19"/>
      <c r="K73" s="2"/>
      <c r="L73" s="2">
        <f t="shared" si="0"/>
        <v>22.49</v>
      </c>
      <c r="M73" s="2"/>
      <c r="N73" s="19">
        <f t="shared" si="1"/>
        <v>-1</v>
      </c>
      <c r="O73" s="11"/>
      <c r="P73" s="2">
        <f t="shared" si="16"/>
        <v>0</v>
      </c>
      <c r="Q73" s="2"/>
      <c r="R73" s="19"/>
      <c r="S73" s="2"/>
      <c r="T73" s="2">
        <f>-28.87</f>
        <v>-28.87</v>
      </c>
      <c r="U73" s="2"/>
      <c r="V73" s="19"/>
      <c r="W73" s="2"/>
      <c r="X73" s="2">
        <f t="shared" si="2"/>
        <v>28.87</v>
      </c>
      <c r="Y73" s="2"/>
      <c r="Z73" s="19">
        <f t="shared" si="3"/>
        <v>-1</v>
      </c>
    </row>
    <row r="74" spans="1:26" s="24" customFormat="1" hidden="1" outlineLevel="1" x14ac:dyDescent="0.25">
      <c r="A74" s="44"/>
      <c r="B74" s="11" t="str">
        <f>CONCATENATE("          ", "4227", " - ", "SALES RETURN TAXABLE-SCHOOL SU")</f>
        <v xml:space="preserve">          4227 - SALES RETURN TAXABLE-SCHOOL SU</v>
      </c>
      <c r="C74" s="11"/>
      <c r="D74" s="2">
        <f t="shared" si="15"/>
        <v>0</v>
      </c>
      <c r="E74" s="2"/>
      <c r="F74" s="19"/>
      <c r="G74" s="2"/>
      <c r="H74" s="2">
        <f>-152.29</f>
        <v>-152.29</v>
      </c>
      <c r="I74" s="2"/>
      <c r="J74" s="19"/>
      <c r="K74" s="2"/>
      <c r="L74" s="2">
        <f t="shared" si="0"/>
        <v>152.29</v>
      </c>
      <c r="M74" s="2"/>
      <c r="N74" s="19">
        <f t="shared" si="1"/>
        <v>-1</v>
      </c>
      <c r="O74" s="11"/>
      <c r="P74" s="2">
        <f t="shared" si="16"/>
        <v>0</v>
      </c>
      <c r="Q74" s="2"/>
      <c r="R74" s="19"/>
      <c r="S74" s="2"/>
      <c r="T74" s="2">
        <f>-568.67</f>
        <v>-568.66999999999996</v>
      </c>
      <c r="U74" s="2"/>
      <c r="V74" s="19"/>
      <c r="W74" s="2"/>
      <c r="X74" s="2">
        <f t="shared" si="2"/>
        <v>568.66999999999996</v>
      </c>
      <c r="Y74" s="2"/>
      <c r="Z74" s="19">
        <f t="shared" si="3"/>
        <v>-1</v>
      </c>
    </row>
    <row r="75" spans="1:26" s="24" customFormat="1" hidden="1" outlineLevel="1" x14ac:dyDescent="0.25">
      <c r="A75" s="44"/>
      <c r="B75" s="11" t="str">
        <f>CONCATENATE("          ", "4228", " - ", "SALES RETURN TAXABLE-ART/TECH")</f>
        <v xml:space="preserve">          4228 - SALES RETURN TAXABLE-ART/TECH</v>
      </c>
      <c r="C75" s="11"/>
      <c r="D75" s="2">
        <f t="shared" si="15"/>
        <v>0</v>
      </c>
      <c r="E75" s="2"/>
      <c r="F75" s="19"/>
      <c r="G75" s="2"/>
      <c r="H75" s="2">
        <f>-57.76</f>
        <v>-57.76</v>
      </c>
      <c r="I75" s="2"/>
      <c r="J75" s="19"/>
      <c r="K75" s="2"/>
      <c r="L75" s="2">
        <f t="shared" si="0"/>
        <v>57.76</v>
      </c>
      <c r="M75" s="2"/>
      <c r="N75" s="19">
        <f t="shared" si="1"/>
        <v>-1</v>
      </c>
      <c r="O75" s="11"/>
      <c r="P75" s="2">
        <f t="shared" si="16"/>
        <v>0</v>
      </c>
      <c r="Q75" s="2"/>
      <c r="R75" s="19"/>
      <c r="S75" s="2"/>
      <c r="T75" s="2">
        <f>-222.2</f>
        <v>-222.2</v>
      </c>
      <c r="U75" s="2"/>
      <c r="V75" s="19"/>
      <c r="W75" s="2"/>
      <c r="X75" s="2">
        <f t="shared" si="2"/>
        <v>222.2</v>
      </c>
      <c r="Y75" s="2"/>
      <c r="Z75" s="19">
        <f t="shared" si="3"/>
        <v>-1</v>
      </c>
    </row>
    <row r="76" spans="1:26" s="24" customFormat="1" hidden="1" outlineLevel="1" x14ac:dyDescent="0.25">
      <c r="A76" s="44"/>
      <c r="B76" s="11" t="str">
        <f>CONCATENATE("          ", "4240", " - ", "SALES RETURN TAXABLE-LOGO CLOT")</f>
        <v xml:space="preserve">          4240 - SALES RETURN TAXABLE-LOGO CLOT</v>
      </c>
      <c r="C76" s="11"/>
      <c r="D76" s="2">
        <f t="shared" si="15"/>
        <v>0</v>
      </c>
      <c r="E76" s="2"/>
      <c r="F76" s="19"/>
      <c r="G76" s="2"/>
      <c r="H76" s="2">
        <f>-3453.14</f>
        <v>-3453.14</v>
      </c>
      <c r="I76" s="2"/>
      <c r="J76" s="19"/>
      <c r="K76" s="2"/>
      <c r="L76" s="2">
        <f t="shared" si="0"/>
        <v>3453.14</v>
      </c>
      <c r="M76" s="2"/>
      <c r="N76" s="19">
        <f t="shared" si="1"/>
        <v>-1</v>
      </c>
      <c r="O76" s="11"/>
      <c r="P76" s="2">
        <f t="shared" si="16"/>
        <v>0</v>
      </c>
      <c r="Q76" s="2"/>
      <c r="R76" s="19"/>
      <c r="S76" s="2"/>
      <c r="T76" s="2">
        <f>-11609.96</f>
        <v>-11609.96</v>
      </c>
      <c r="U76" s="2"/>
      <c r="V76" s="19"/>
      <c r="W76" s="2"/>
      <c r="X76" s="2">
        <f t="shared" si="2"/>
        <v>11609.96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"4241", " - ", "SALES RETURN TAXABLE-LOGO GIFT")</f>
        <v xml:space="preserve">          4241 - SALES RETURN TAXABLE-LOGO GIFT</v>
      </c>
      <c r="C77" s="11"/>
      <c r="D77" s="2">
        <f t="shared" si="15"/>
        <v>0</v>
      </c>
      <c r="E77" s="2"/>
      <c r="F77" s="19"/>
      <c r="G77" s="2"/>
      <c r="H77" s="2">
        <f>-988.92</f>
        <v>-988.92</v>
      </c>
      <c r="I77" s="2"/>
      <c r="J77" s="19"/>
      <c r="K77" s="2"/>
      <c r="L77" s="2">
        <f t="shared" si="0"/>
        <v>988.92</v>
      </c>
      <c r="M77" s="2"/>
      <c r="N77" s="19">
        <f t="shared" si="1"/>
        <v>-1</v>
      </c>
      <c r="O77" s="11"/>
      <c r="P77" s="2">
        <f t="shared" si="16"/>
        <v>0</v>
      </c>
      <c r="Q77" s="2"/>
      <c r="R77" s="19"/>
      <c r="S77" s="2"/>
      <c r="T77" s="2">
        <f>-2317.11</f>
        <v>-2317.11</v>
      </c>
      <c r="U77" s="2"/>
      <c r="V77" s="19"/>
      <c r="W77" s="2"/>
      <c r="X77" s="2">
        <f t="shared" si="2"/>
        <v>2317.11</v>
      </c>
      <c r="Y77" s="2"/>
      <c r="Z77" s="19">
        <f t="shared" si="3"/>
        <v>-1</v>
      </c>
    </row>
    <row r="78" spans="1:26" s="24" customFormat="1" hidden="1" outlineLevel="1" x14ac:dyDescent="0.25">
      <c r="A78" s="44"/>
      <c r="B78" s="11" t="str">
        <f>CONCATENATE("          ", "4242", " - ", "SALES RETURN TAXABLE-EVERYDAY")</f>
        <v xml:space="preserve">          4242 - SALES RETURN TAXABLE-EVERYDAY</v>
      </c>
      <c r="C78" s="11"/>
      <c r="D78" s="2">
        <f t="shared" si="15"/>
        <v>0</v>
      </c>
      <c r="E78" s="2"/>
      <c r="F78" s="19"/>
      <c r="G78" s="2"/>
      <c r="H78" s="2">
        <f>-405.07</f>
        <v>-405.07</v>
      </c>
      <c r="I78" s="2"/>
      <c r="J78" s="19"/>
      <c r="K78" s="2"/>
      <c r="L78" s="2">
        <f t="shared" si="0"/>
        <v>405.07</v>
      </c>
      <c r="M78" s="2"/>
      <c r="N78" s="19">
        <f t="shared" si="1"/>
        <v>-1</v>
      </c>
      <c r="O78" s="11"/>
      <c r="P78" s="2">
        <f t="shared" si="16"/>
        <v>0</v>
      </c>
      <c r="Q78" s="2"/>
      <c r="R78" s="19"/>
      <c r="S78" s="2"/>
      <c r="T78" s="2">
        <f>-1054.56</f>
        <v>-1054.56</v>
      </c>
      <c r="U78" s="2"/>
      <c r="V78" s="19"/>
      <c r="W78" s="2"/>
      <c r="X78" s="2">
        <f t="shared" si="2"/>
        <v>1054.56</v>
      </c>
      <c r="Y78" s="2"/>
      <c r="Z78" s="19">
        <f t="shared" si="3"/>
        <v>-1</v>
      </c>
    </row>
    <row r="79" spans="1:26" s="24" customFormat="1" hidden="1" outlineLevel="1" x14ac:dyDescent="0.25">
      <c r="A79" s="44"/>
      <c r="B79" s="11" t="str">
        <f>CONCATENATE("          ", "4243", " - ", "SALES RETURN TAXABLE-CARDS")</f>
        <v xml:space="preserve">          4243 - SALES RETURN TAXABLE-CARDS</v>
      </c>
      <c r="C79" s="11"/>
      <c r="D79" s="2">
        <f t="shared" si="15"/>
        <v>0</v>
      </c>
      <c r="E79" s="2"/>
      <c r="F79" s="19"/>
      <c r="G79" s="2"/>
      <c r="H79" s="2">
        <f>-59.94</f>
        <v>-59.94</v>
      </c>
      <c r="I79" s="2"/>
      <c r="J79" s="19"/>
      <c r="K79" s="2"/>
      <c r="L79" s="2">
        <f t="shared" si="0"/>
        <v>59.94</v>
      </c>
      <c r="M79" s="2"/>
      <c r="N79" s="19">
        <f t="shared" si="1"/>
        <v>-1</v>
      </c>
      <c r="O79" s="11"/>
      <c r="P79" s="2">
        <f t="shared" si="16"/>
        <v>0</v>
      </c>
      <c r="Q79" s="2"/>
      <c r="R79" s="19"/>
      <c r="S79" s="2"/>
      <c r="T79" s="2">
        <f>-153.37</f>
        <v>-153.37</v>
      </c>
      <c r="U79" s="2"/>
      <c r="V79" s="19"/>
      <c r="W79" s="2"/>
      <c r="X79" s="2">
        <f t="shared" si="2"/>
        <v>153.37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"4244", " - ", "SALES RETURN TAXABLE-ACCESSORI")</f>
        <v xml:space="preserve">          4244 - SALES RETURN TAXABLE-ACCESSORI</v>
      </c>
      <c r="C80" s="11"/>
      <c r="D80" s="2">
        <f t="shared" si="15"/>
        <v>0</v>
      </c>
      <c r="E80" s="2"/>
      <c r="F80" s="19"/>
      <c r="G80" s="2"/>
      <c r="H80" s="2">
        <f>-60</f>
        <v>-60</v>
      </c>
      <c r="I80" s="2"/>
      <c r="J80" s="19"/>
      <c r="K80" s="2"/>
      <c r="L80" s="2">
        <f t="shared" si="0"/>
        <v>60</v>
      </c>
      <c r="M80" s="2"/>
      <c r="N80" s="19">
        <f t="shared" si="1"/>
        <v>-1</v>
      </c>
      <c r="O80" s="11"/>
      <c r="P80" s="2">
        <f t="shared" si="16"/>
        <v>0</v>
      </c>
      <c r="Q80" s="2"/>
      <c r="R80" s="19"/>
      <c r="S80" s="2"/>
      <c r="T80" s="2">
        <f>-410.99</f>
        <v>-410.99</v>
      </c>
      <c r="U80" s="2"/>
      <c r="V80" s="19"/>
      <c r="W80" s="2"/>
      <c r="X80" s="2">
        <f t="shared" si="2"/>
        <v>410.99</v>
      </c>
      <c r="Y80" s="2"/>
      <c r="Z80" s="19">
        <f t="shared" si="3"/>
        <v>-1</v>
      </c>
    </row>
    <row r="81" spans="1:26" s="24" customFormat="1" hidden="1" outlineLevel="1" x14ac:dyDescent="0.25">
      <c r="A81" s="44"/>
      <c r="B81" s="11" t="str">
        <f>CONCATENATE("          ", "4245", " - ", "SALES RETURN TAXABLE-SPECIAL O")</f>
        <v xml:space="preserve">          4245 - SALES RETURN TAXABLE-SPECIAL O</v>
      </c>
      <c r="C81" s="11"/>
      <c r="D81" s="2">
        <f t="shared" si="15"/>
        <v>0</v>
      </c>
      <c r="E81" s="2"/>
      <c r="F81" s="19"/>
      <c r="G81" s="2"/>
      <c r="H81" s="2">
        <f>-3.99</f>
        <v>-3.99</v>
      </c>
      <c r="I81" s="2"/>
      <c r="J81" s="19"/>
      <c r="K81" s="2"/>
      <c r="L81" s="2">
        <f t="shared" si="0"/>
        <v>3.99</v>
      </c>
      <c r="M81" s="2"/>
      <c r="N81" s="19">
        <f t="shared" si="1"/>
        <v>-1</v>
      </c>
      <c r="O81" s="11"/>
      <c r="P81" s="2">
        <f t="shared" si="16"/>
        <v>0</v>
      </c>
      <c r="Q81" s="2"/>
      <c r="R81" s="19"/>
      <c r="S81" s="2"/>
      <c r="T81" s="2">
        <f>-1182.95</f>
        <v>-1182.95</v>
      </c>
      <c r="U81" s="2"/>
      <c r="V81" s="19"/>
      <c r="W81" s="2"/>
      <c r="X81" s="2">
        <f t="shared" si="2"/>
        <v>1182.95</v>
      </c>
      <c r="Y81" s="2"/>
      <c r="Z81" s="19">
        <f t="shared" si="3"/>
        <v>-1</v>
      </c>
    </row>
    <row r="82" spans="1:26" s="24" customFormat="1" hidden="1" outlineLevel="1" x14ac:dyDescent="0.25">
      <c r="A82" s="44"/>
      <c r="B82" s="11" t="str">
        <f>CONCATENATE("          ", "4281", " - ", "SALES RETURN TAXABLE-ELECTRONI")</f>
        <v xml:space="preserve">          4281 - SALES RETURN TAXABLE-ELECTRONI</v>
      </c>
      <c r="C82" s="11"/>
      <c r="D82" s="2">
        <f t="shared" si="15"/>
        <v>0</v>
      </c>
      <c r="E82" s="2"/>
      <c r="F82" s="19"/>
      <c r="G82" s="2"/>
      <c r="H82" s="2">
        <f>-557.94</f>
        <v>-557.94000000000005</v>
      </c>
      <c r="I82" s="2"/>
      <c r="J82" s="19"/>
      <c r="K82" s="2"/>
      <c r="L82" s="2">
        <f t="shared" si="0"/>
        <v>557.94000000000005</v>
      </c>
      <c r="M82" s="2"/>
      <c r="N82" s="19">
        <f t="shared" si="1"/>
        <v>-1</v>
      </c>
      <c r="O82" s="11"/>
      <c r="P82" s="2">
        <f t="shared" si="16"/>
        <v>0</v>
      </c>
      <c r="Q82" s="2"/>
      <c r="R82" s="19"/>
      <c r="S82" s="2"/>
      <c r="T82" s="2">
        <f>-14274.16</f>
        <v>-14274.16</v>
      </c>
      <c r="U82" s="2"/>
      <c r="V82" s="19"/>
      <c r="W82" s="2"/>
      <c r="X82" s="2">
        <f t="shared" si="2"/>
        <v>14274.16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"4282", " - ", "SALES RETURN TAXABLE-COMPUTER")</f>
        <v xml:space="preserve">          4282 - SALES RETURN TAXABLE-COMPUTER</v>
      </c>
      <c r="C83" s="11"/>
      <c r="D83" s="2">
        <f t="shared" si="15"/>
        <v>0</v>
      </c>
      <c r="E83" s="2"/>
      <c r="F83" s="19"/>
      <c r="G83" s="2"/>
      <c r="H83" s="2">
        <f>-14636</f>
        <v>-14636</v>
      </c>
      <c r="I83" s="2"/>
      <c r="J83" s="19"/>
      <c r="K83" s="2"/>
      <c r="L83" s="2">
        <f t="shared" si="0"/>
        <v>14636</v>
      </c>
      <c r="M83" s="2"/>
      <c r="N83" s="19">
        <f t="shared" si="1"/>
        <v>-1</v>
      </c>
      <c r="O83" s="11"/>
      <c r="P83" s="2">
        <f t="shared" si="16"/>
        <v>0</v>
      </c>
      <c r="Q83" s="2"/>
      <c r="R83" s="19"/>
      <c r="S83" s="2"/>
      <c r="T83" s="2">
        <f>-48285</f>
        <v>-48285</v>
      </c>
      <c r="U83" s="2"/>
      <c r="V83" s="19"/>
      <c r="W83" s="2"/>
      <c r="X83" s="2">
        <f t="shared" si="2"/>
        <v>48285</v>
      </c>
      <c r="Y83" s="2"/>
      <c r="Z83" s="19">
        <f t="shared" si="3"/>
        <v>-1</v>
      </c>
    </row>
    <row r="84" spans="1:26" s="24" customFormat="1" hidden="1" outlineLevel="1" x14ac:dyDescent="0.25">
      <c r="A84" s="44"/>
      <c r="B84" s="11" t="str">
        <f>CONCATENATE("          ", "4283", " - ", "SALES RETURN TAXABLE-COMPUTER")</f>
        <v xml:space="preserve">          4283 - SALES RETURN TAXABLE-COMPUTER</v>
      </c>
      <c r="C84" s="11"/>
      <c r="D84" s="2">
        <f t="shared" si="15"/>
        <v>0</v>
      </c>
      <c r="E84" s="2"/>
      <c r="F84" s="19"/>
      <c r="G84" s="2"/>
      <c r="H84" s="2">
        <f>-483.9</f>
        <v>-483.9</v>
      </c>
      <c r="I84" s="2"/>
      <c r="J84" s="19"/>
      <c r="K84" s="2"/>
      <c r="L84" s="2">
        <f t="shared" si="0"/>
        <v>483.9</v>
      </c>
      <c r="M84" s="2"/>
      <c r="N84" s="19">
        <f t="shared" si="1"/>
        <v>-1</v>
      </c>
      <c r="O84" s="11"/>
      <c r="P84" s="2">
        <f t="shared" si="16"/>
        <v>0</v>
      </c>
      <c r="Q84" s="2"/>
      <c r="R84" s="19"/>
      <c r="S84" s="2"/>
      <c r="T84" s="2">
        <f>-2002.73</f>
        <v>-2002.73</v>
      </c>
      <c r="U84" s="2"/>
      <c r="V84" s="19"/>
      <c r="W84" s="2"/>
      <c r="X84" s="2">
        <f t="shared" si="2"/>
        <v>2002.73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"4285", " - ", "SALES RETURN TAXABLE-SOFTWARE")</f>
        <v xml:space="preserve">          4285 - SALES RETURN TAXABLE-SOFTWARE</v>
      </c>
      <c r="C85" s="11"/>
      <c r="D85" s="2">
        <f t="shared" si="15"/>
        <v>0</v>
      </c>
      <c r="E85" s="2"/>
      <c r="F85" s="19"/>
      <c r="G85" s="2"/>
      <c r="H85" s="2">
        <f>-552.98</f>
        <v>-552.98</v>
      </c>
      <c r="I85" s="2"/>
      <c r="J85" s="19"/>
      <c r="K85" s="2"/>
      <c r="L85" s="2">
        <f t="shared" si="0"/>
        <v>552.98</v>
      </c>
      <c r="M85" s="2"/>
      <c r="N85" s="19">
        <f t="shared" si="1"/>
        <v>-1</v>
      </c>
      <c r="O85" s="11"/>
      <c r="P85" s="2">
        <f t="shared" si="16"/>
        <v>0</v>
      </c>
      <c r="Q85" s="2"/>
      <c r="R85" s="19"/>
      <c r="S85" s="2"/>
      <c r="T85" s="2">
        <f>-552.98</f>
        <v>-552.98</v>
      </c>
      <c r="U85" s="2"/>
      <c r="V85" s="19"/>
      <c r="W85" s="2"/>
      <c r="X85" s="2">
        <f t="shared" si="2"/>
        <v>552.98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"4286", " - ", "SALES RETURN TAXABLE-COMPUTER")</f>
        <v xml:space="preserve">          4286 - SALES RETURN TAXABLE-COMPUTER</v>
      </c>
      <c r="C86" s="11"/>
      <c r="D86" s="2">
        <f t="shared" si="15"/>
        <v>0</v>
      </c>
      <c r="E86" s="2"/>
      <c r="F86" s="19"/>
      <c r="G86" s="2"/>
      <c r="H86" s="2">
        <f>-258.44</f>
        <v>-258.44</v>
      </c>
      <c r="I86" s="2"/>
      <c r="J86" s="19"/>
      <c r="K86" s="2"/>
      <c r="L86" s="2">
        <f t="shared" si="0"/>
        <v>258.44</v>
      </c>
      <c r="M86" s="2"/>
      <c r="N86" s="19">
        <f t="shared" si="1"/>
        <v>-1</v>
      </c>
      <c r="O86" s="11"/>
      <c r="P86" s="2">
        <f t="shared" si="16"/>
        <v>0</v>
      </c>
      <c r="Q86" s="2"/>
      <c r="R86" s="19"/>
      <c r="S86" s="2"/>
      <c r="T86" s="2">
        <f>-412.4</f>
        <v>-412.4</v>
      </c>
      <c r="U86" s="2"/>
      <c r="V86" s="19"/>
      <c r="W86" s="2"/>
      <c r="X86" s="2">
        <f t="shared" si="2"/>
        <v>412.4</v>
      </c>
      <c r="Y86" s="2"/>
      <c r="Z86" s="19">
        <f t="shared" si="3"/>
        <v>-1</v>
      </c>
    </row>
    <row r="87" spans="1:26" s="24" customFormat="1" hidden="1" outlineLevel="1" x14ac:dyDescent="0.25">
      <c r="A87" s="44"/>
      <c r="B87" s="11" t="str">
        <f>CONCATENATE("          ", "4300", " - ", "NON-TAX RETURNS")</f>
        <v xml:space="preserve">          4300 - NON-TAX RETURNS</v>
      </c>
      <c r="C87" s="11"/>
      <c r="D87" s="2">
        <f>-2758.55</f>
        <v>-2758.55</v>
      </c>
      <c r="E87" s="2"/>
      <c r="F87" s="19"/>
      <c r="G87" s="2"/>
      <c r="H87" s="2">
        <f>0</f>
        <v>0</v>
      </c>
      <c r="I87" s="2"/>
      <c r="J87" s="19"/>
      <c r="K87" s="2"/>
      <c r="L87" s="2">
        <f t="shared" si="0"/>
        <v>-2758.55</v>
      </c>
      <c r="M87" s="2"/>
      <c r="N87" s="19">
        <f t="shared" si="1"/>
        <v>0</v>
      </c>
      <c r="O87" s="11"/>
      <c r="P87" s="2">
        <f>-20796.04</f>
        <v>-20796.04</v>
      </c>
      <c r="Q87" s="2"/>
      <c r="R87" s="19"/>
      <c r="S87" s="2"/>
      <c r="T87" s="2">
        <f>0</f>
        <v>0</v>
      </c>
      <c r="U87" s="2"/>
      <c r="V87" s="19"/>
      <c r="W87" s="2"/>
      <c r="X87" s="2">
        <f t="shared" si="2"/>
        <v>-20796.04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"4301", " - ", "SALES RETURN NON TAXABLE-NEW T")</f>
        <v xml:space="preserve">          4301 - SALES RETURN NON TAXABLE-NEW T</v>
      </c>
      <c r="C88" s="11"/>
      <c r="D88" s="2">
        <f t="shared" ref="D88:D94" si="17">0</f>
        <v>0</v>
      </c>
      <c r="E88" s="2"/>
      <c r="F88" s="19"/>
      <c r="G88" s="2"/>
      <c r="H88" s="2">
        <f>-1820.43</f>
        <v>-1820.43</v>
      </c>
      <c r="I88" s="2"/>
      <c r="J88" s="19"/>
      <c r="K88" s="2"/>
      <c r="L88" s="2">
        <f t="shared" si="0"/>
        <v>1820.43</v>
      </c>
      <c r="M88" s="2"/>
      <c r="N88" s="19">
        <f t="shared" si="1"/>
        <v>-1</v>
      </c>
      <c r="O88" s="11"/>
      <c r="P88" s="2">
        <f t="shared" ref="P88:P94" si="18">0</f>
        <v>0</v>
      </c>
      <c r="Q88" s="2"/>
      <c r="R88" s="19"/>
      <c r="S88" s="2"/>
      <c r="T88" s="2">
        <f>-1840.68</f>
        <v>-1840.68</v>
      </c>
      <c r="U88" s="2"/>
      <c r="V88" s="19"/>
      <c r="W88" s="2"/>
      <c r="X88" s="2">
        <f t="shared" si="2"/>
        <v>1840.68</v>
      </c>
      <c r="Y88" s="2"/>
      <c r="Z88" s="19">
        <f t="shared" si="3"/>
        <v>-1</v>
      </c>
    </row>
    <row r="89" spans="1:26" s="24" customFormat="1" hidden="1" outlineLevel="1" x14ac:dyDescent="0.25">
      <c r="A89" s="44"/>
      <c r="B89" s="11" t="str">
        <f>CONCATENATE("          ", "4302", " - ", "SALES RETURN NON TAXABLE-TEXT")</f>
        <v xml:space="preserve">          4302 - SALES RETURN NON TAXABLE-TEXT</v>
      </c>
      <c r="C89" s="11"/>
      <c r="D89" s="2">
        <f t="shared" si="17"/>
        <v>0</v>
      </c>
      <c r="E89" s="2"/>
      <c r="F89" s="19"/>
      <c r="G89" s="2"/>
      <c r="H89" s="2">
        <f>-737.24</f>
        <v>-737.24</v>
      </c>
      <c r="I89" s="2"/>
      <c r="J89" s="19"/>
      <c r="K89" s="2"/>
      <c r="L89" s="2">
        <f t="shared" si="0"/>
        <v>737.24</v>
      </c>
      <c r="M89" s="2"/>
      <c r="N89" s="19">
        <f t="shared" si="1"/>
        <v>-1</v>
      </c>
      <c r="O89" s="11"/>
      <c r="P89" s="2">
        <f t="shared" si="18"/>
        <v>0</v>
      </c>
      <c r="Q89" s="2"/>
      <c r="R89" s="19"/>
      <c r="S89" s="2"/>
      <c r="T89" s="2">
        <f>-1147.08</f>
        <v>-1147.08</v>
      </c>
      <c r="U89" s="2"/>
      <c r="V89" s="19"/>
      <c r="W89" s="2"/>
      <c r="X89" s="2">
        <f t="shared" si="2"/>
        <v>1147.08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"4304", " - ", "SALES RETURN NON TAXABLE-DIGIT")</f>
        <v xml:space="preserve">          4304 - SALES RETURN NON TAXABLE-DIGIT</v>
      </c>
      <c r="C90" s="11"/>
      <c r="D90" s="2">
        <f t="shared" si="17"/>
        <v>0</v>
      </c>
      <c r="E90" s="2"/>
      <c r="F90" s="19"/>
      <c r="G90" s="2"/>
      <c r="H90" s="2">
        <f>-7456.63</f>
        <v>-7456.63</v>
      </c>
      <c r="I90" s="2"/>
      <c r="J90" s="19"/>
      <c r="K90" s="2"/>
      <c r="L90" s="2">
        <f t="shared" si="0"/>
        <v>7456.63</v>
      </c>
      <c r="M90" s="2"/>
      <c r="N90" s="19">
        <f t="shared" si="1"/>
        <v>-1</v>
      </c>
      <c r="O90" s="11"/>
      <c r="P90" s="2">
        <f t="shared" si="18"/>
        <v>0</v>
      </c>
      <c r="Q90" s="2"/>
      <c r="R90" s="19"/>
      <c r="S90" s="2"/>
      <c r="T90" s="2">
        <f>-13409.36</f>
        <v>-13409.36</v>
      </c>
      <c r="U90" s="2"/>
      <c r="V90" s="19"/>
      <c r="W90" s="2"/>
      <c r="X90" s="2">
        <f t="shared" si="2"/>
        <v>13409.36</v>
      </c>
      <c r="Y90" s="2"/>
      <c r="Z90" s="19">
        <f t="shared" si="3"/>
        <v>-1</v>
      </c>
    </row>
    <row r="91" spans="1:26" s="24" customFormat="1" hidden="1" outlineLevel="1" x14ac:dyDescent="0.25">
      <c r="A91" s="44"/>
      <c r="B91" s="11" t="str">
        <f>CONCATENATE("          ", "4340", " - ", "SALES RETURN NON TAXABLE-LOGO")</f>
        <v xml:space="preserve">          4340 - SALES RETURN NON TAXABLE-LOGO</v>
      </c>
      <c r="C91" s="11"/>
      <c r="D91" s="2">
        <f t="shared" si="17"/>
        <v>0</v>
      </c>
      <c r="E91" s="2"/>
      <c r="F91" s="19"/>
      <c r="G91" s="2"/>
      <c r="H91" s="2">
        <f>-36.9</f>
        <v>-36.9</v>
      </c>
      <c r="I91" s="2"/>
      <c r="J91" s="19"/>
      <c r="K91" s="2"/>
      <c r="L91" s="2">
        <f t="shared" si="0"/>
        <v>36.9</v>
      </c>
      <c r="M91" s="2"/>
      <c r="N91" s="19">
        <f t="shared" si="1"/>
        <v>-1</v>
      </c>
      <c r="O91" s="11"/>
      <c r="P91" s="2">
        <f t="shared" si="18"/>
        <v>0</v>
      </c>
      <c r="Q91" s="2"/>
      <c r="R91" s="19"/>
      <c r="S91" s="2"/>
      <c r="T91" s="2">
        <f>-541.04</f>
        <v>-541.04</v>
      </c>
      <c r="U91" s="2"/>
      <c r="V91" s="19"/>
      <c r="W91" s="2"/>
      <c r="X91" s="2">
        <f t="shared" si="2"/>
        <v>541.04</v>
      </c>
      <c r="Y91" s="2"/>
      <c r="Z91" s="19">
        <f t="shared" si="3"/>
        <v>-1</v>
      </c>
    </row>
    <row r="92" spans="1:26" s="24" customFormat="1" hidden="1" outlineLevel="1" x14ac:dyDescent="0.25">
      <c r="A92" s="44"/>
      <c r="B92" s="11" t="str">
        <f>CONCATENATE("          ", "4341", " - ", "SALES RETURN NON TAXABLE-LOGO")</f>
        <v xml:space="preserve">          4341 - SALES RETURN NON TAXABLE-LOGO</v>
      </c>
      <c r="C92" s="11"/>
      <c r="D92" s="2">
        <f t="shared" si="17"/>
        <v>0</v>
      </c>
      <c r="E92" s="2"/>
      <c r="F92" s="19"/>
      <c r="G92" s="2"/>
      <c r="H92" s="2">
        <f>-129.95</f>
        <v>-129.94999999999999</v>
      </c>
      <c r="I92" s="2"/>
      <c r="J92" s="19"/>
      <c r="K92" s="2"/>
      <c r="L92" s="2">
        <f t="shared" si="0"/>
        <v>129.94999999999999</v>
      </c>
      <c r="M92" s="2"/>
      <c r="N92" s="19">
        <f t="shared" si="1"/>
        <v>-1</v>
      </c>
      <c r="O92" s="11"/>
      <c r="P92" s="2">
        <f t="shared" si="18"/>
        <v>0</v>
      </c>
      <c r="Q92" s="2"/>
      <c r="R92" s="19"/>
      <c r="S92" s="2"/>
      <c r="T92" s="2">
        <f>-146.9</f>
        <v>-146.9</v>
      </c>
      <c r="U92" s="2"/>
      <c r="V92" s="19"/>
      <c r="W92" s="2"/>
      <c r="X92" s="2">
        <f t="shared" si="2"/>
        <v>146.9</v>
      </c>
      <c r="Y92" s="2"/>
      <c r="Z92" s="19">
        <f t="shared" si="3"/>
        <v>-1</v>
      </c>
    </row>
    <row r="93" spans="1:26" s="24" customFormat="1" hidden="1" outlineLevel="1" x14ac:dyDescent="0.25">
      <c r="A93" s="44"/>
      <c r="B93" s="11" t="str">
        <f>CONCATENATE("          ", "4342", " - ", "SALES RETURN NON TAXABLE-EVERY")</f>
        <v xml:space="preserve">          4342 - SALES RETURN NON TAXABLE-EVERY</v>
      </c>
      <c r="C93" s="11"/>
      <c r="D93" s="2">
        <f t="shared" si="17"/>
        <v>0</v>
      </c>
      <c r="E93" s="2"/>
      <c r="F93" s="19"/>
      <c r="G93" s="2"/>
      <c r="H93" s="2">
        <f>-24.95</f>
        <v>-24.95</v>
      </c>
      <c r="I93" s="2"/>
      <c r="J93" s="19"/>
      <c r="K93" s="2"/>
      <c r="L93" s="2">
        <f t="shared" si="0"/>
        <v>24.95</v>
      </c>
      <c r="M93" s="2"/>
      <c r="N93" s="19">
        <f t="shared" si="1"/>
        <v>-1</v>
      </c>
      <c r="O93" s="11"/>
      <c r="P93" s="2">
        <f t="shared" si="18"/>
        <v>0</v>
      </c>
      <c r="Q93" s="2"/>
      <c r="R93" s="19"/>
      <c r="S93" s="2"/>
      <c r="T93" s="2">
        <f>-118.7</f>
        <v>-118.7</v>
      </c>
      <c r="U93" s="2"/>
      <c r="V93" s="19"/>
      <c r="W93" s="2"/>
      <c r="X93" s="2">
        <f t="shared" si="2"/>
        <v>118.7</v>
      </c>
      <c r="Y93" s="2"/>
      <c r="Z93" s="19">
        <f t="shared" si="3"/>
        <v>-1</v>
      </c>
    </row>
    <row r="94" spans="1:26" s="24" customFormat="1" hidden="1" outlineLevel="1" x14ac:dyDescent="0.25">
      <c r="A94" s="44"/>
      <c r="B94" s="11" t="str">
        <f>CONCATENATE("          ", "4381", " - ", "SALES RETURN NON TAXABLE-ELECT")</f>
        <v xml:space="preserve">          4381 - SALES RETURN NON TAXABLE-ELECT</v>
      </c>
      <c r="C94" s="11"/>
      <c r="D94" s="2">
        <f t="shared" si="17"/>
        <v>0</v>
      </c>
      <c r="E94" s="2"/>
      <c r="F94" s="19"/>
      <c r="G94" s="2"/>
      <c r="H94" s="2">
        <f>-249.95</f>
        <v>-249.95</v>
      </c>
      <c r="I94" s="2"/>
      <c r="J94" s="19"/>
      <c r="K94" s="2"/>
      <c r="L94" s="2">
        <f t="shared" si="0"/>
        <v>249.95</v>
      </c>
      <c r="M94" s="2"/>
      <c r="N94" s="19">
        <f t="shared" si="1"/>
        <v>-1</v>
      </c>
      <c r="O94" s="11"/>
      <c r="P94" s="2">
        <f t="shared" si="18"/>
        <v>0</v>
      </c>
      <c r="Q94" s="2"/>
      <c r="R94" s="19"/>
      <c r="S94" s="2"/>
      <c r="T94" s="2">
        <f>-5624.15</f>
        <v>-5624.15</v>
      </c>
      <c r="U94" s="2"/>
      <c r="V94" s="19"/>
      <c r="W94" s="2"/>
      <c r="X94" s="2">
        <f t="shared" si="2"/>
        <v>5624.15</v>
      </c>
      <c r="Y94" s="2"/>
      <c r="Z94" s="19">
        <f t="shared" si="3"/>
        <v>-1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collapsed="1" x14ac:dyDescent="0.25">
      <c r="A96" s="10"/>
      <c r="B96" s="26" t="s">
        <v>256</v>
      </c>
      <c r="C96" s="10"/>
      <c r="D96" s="4">
        <f>SUM(OSRRefD16x_0)</f>
        <v>918591.82000000018</v>
      </c>
      <c r="E96" s="4"/>
      <c r="F96" s="12">
        <f t="shared" ref="F96:F140" si="19">IF(D$12=0,0,D96/D$12)</f>
        <v>0.39095618946615562</v>
      </c>
      <c r="G96" s="4"/>
      <c r="H96" s="4">
        <f>SUM(OSRRefH16x_0)</f>
        <v>538743.32999999996</v>
      </c>
      <c r="I96" s="4"/>
      <c r="J96" s="12">
        <f t="shared" ref="J96:J140" si="20">IF(H$12=0,0,H96/H$12)</f>
        <v>0.60141262439167109</v>
      </c>
      <c r="K96" s="4"/>
      <c r="L96" s="4">
        <f t="shared" ref="L96:L140" si="21">+D96-H96</f>
        <v>379848.49000000022</v>
      </c>
      <c r="M96" s="4"/>
      <c r="N96" s="12">
        <f t="shared" ref="N96:N140" si="22">IF(H96=0,0,L96/H96)</f>
        <v>0.70506393090750696</v>
      </c>
      <c r="O96" s="10"/>
      <c r="P96" s="4">
        <f>SUM(OSRRefP16x_0)</f>
        <v>2627295.06</v>
      </c>
      <c r="Q96" s="4"/>
      <c r="R96" s="12">
        <f t="shared" ref="R96:R140" si="23">IF(P$12=0,0,P96/P$12)</f>
        <v>0.49179235519972081</v>
      </c>
      <c r="S96" s="4"/>
      <c r="T96" s="4">
        <f>SUM(OSRRefT16x_0)</f>
        <v>2483720.1799999997</v>
      </c>
      <c r="U96" s="4"/>
      <c r="V96" s="12">
        <f t="shared" ref="V96:V140" si="24">IF(T$12=0,0,T96/T$12)</f>
        <v>0.69306089280859429</v>
      </c>
      <c r="W96" s="4"/>
      <c r="X96" s="4">
        <f t="shared" ref="X96:X140" si="25">+P96-T96</f>
        <v>143574.88000000035</v>
      </c>
      <c r="Y96" s="4"/>
      <c r="Z96" s="12">
        <f t="shared" ref="Z96:Z140" si="26">IF(T96=0,0,X96/T96)</f>
        <v>5.7806383004063031E-2</v>
      </c>
    </row>
    <row r="97" spans="1:26" s="24" customFormat="1" hidden="1" outlineLevel="1" x14ac:dyDescent="0.25">
      <c r="A97" s="44"/>
      <c r="B97" s="11" t="str">
        <f>CONCATENATE("          ", "5000", " - ", "PURCHASES @ COST")</f>
        <v xml:space="preserve">          5000 - PURCHASES @ COST</v>
      </c>
      <c r="C97" s="11"/>
      <c r="D97" s="2">
        <v>895370.31</v>
      </c>
      <c r="E97" s="2"/>
      <c r="F97" s="19">
        <f t="shared" si="19"/>
        <v>0.38107302605713428</v>
      </c>
      <c r="G97" s="2"/>
      <c r="H97" s="2">
        <v>0</v>
      </c>
      <c r="I97" s="2"/>
      <c r="J97" s="19">
        <f t="shared" si="20"/>
        <v>0</v>
      </c>
      <c r="K97" s="2"/>
      <c r="L97" s="2">
        <f t="shared" si="21"/>
        <v>895370.31</v>
      </c>
      <c r="M97" s="2"/>
      <c r="N97" s="19">
        <f t="shared" si="22"/>
        <v>0</v>
      </c>
      <c r="O97" s="11"/>
      <c r="P97" s="2">
        <v>2123460.8199999998</v>
      </c>
      <c r="Q97" s="2"/>
      <c r="R97" s="19">
        <f t="shared" si="23"/>
        <v>0.39748173463323538</v>
      </c>
      <c r="S97" s="2"/>
      <c r="T97" s="2">
        <v>0</v>
      </c>
      <c r="U97" s="2"/>
      <c r="V97" s="19">
        <f t="shared" si="24"/>
        <v>0</v>
      </c>
      <c r="W97" s="2"/>
      <c r="X97" s="2">
        <f t="shared" si="25"/>
        <v>2123460.8199999998</v>
      </c>
      <c r="Y97" s="2"/>
      <c r="Z97" s="19">
        <f t="shared" si="26"/>
        <v>0</v>
      </c>
    </row>
    <row r="98" spans="1:26" s="24" customFormat="1" hidden="1" outlineLevel="1" x14ac:dyDescent="0.25">
      <c r="A98" s="44"/>
      <c r="B98" s="11" t="str">
        <f>CONCATENATE("          ", "5001", " - ", "PURCHASES @ COST-NEW TEXT")</f>
        <v xml:space="preserve">          5001 - PURCHASES @ COST-NEW TEXT</v>
      </c>
      <c r="C98" s="11"/>
      <c r="D98" s="2">
        <v>0</v>
      </c>
      <c r="E98" s="2"/>
      <c r="F98" s="19">
        <f t="shared" si="19"/>
        <v>0</v>
      </c>
      <c r="G98" s="2"/>
      <c r="H98" s="2">
        <v>602088.99</v>
      </c>
      <c r="I98" s="2"/>
      <c r="J98" s="19">
        <f t="shared" si="20"/>
        <v>0.67212696553149087</v>
      </c>
      <c r="K98" s="2"/>
      <c r="L98" s="2">
        <f t="shared" si="21"/>
        <v>-602088.99</v>
      </c>
      <c r="M98" s="2"/>
      <c r="N98" s="19">
        <f t="shared" si="22"/>
        <v>-1</v>
      </c>
      <c r="O98" s="11"/>
      <c r="P98" s="2">
        <v>0</v>
      </c>
      <c r="Q98" s="2"/>
      <c r="R98" s="19">
        <f t="shared" si="23"/>
        <v>0</v>
      </c>
      <c r="S98" s="2"/>
      <c r="T98" s="2">
        <v>1293421.76</v>
      </c>
      <c r="U98" s="2"/>
      <c r="V98" s="19">
        <f t="shared" si="24"/>
        <v>0.36091828982267377</v>
      </c>
      <c r="W98" s="2"/>
      <c r="X98" s="2">
        <f t="shared" si="25"/>
        <v>-1293421.76</v>
      </c>
      <c r="Y98" s="2"/>
      <c r="Z98" s="19">
        <f t="shared" si="26"/>
        <v>-1</v>
      </c>
    </row>
    <row r="99" spans="1:26" s="24" customFormat="1" hidden="1" outlineLevel="1" x14ac:dyDescent="0.25">
      <c r="A99" s="44"/>
      <c r="B99" s="11" t="str">
        <f>CONCATENATE("          ", "5002", " - ", "PURCHASES @ COST-USED TEXT")</f>
        <v xml:space="preserve">          5002 - PURCHASES @ COST-USED TEXT</v>
      </c>
      <c r="C99" s="11"/>
      <c r="D99" s="2">
        <v>0</v>
      </c>
      <c r="E99" s="2"/>
      <c r="F99" s="19">
        <f t="shared" si="19"/>
        <v>0</v>
      </c>
      <c r="G99" s="2"/>
      <c r="H99" s="2">
        <v>108363.86</v>
      </c>
      <c r="I99" s="2"/>
      <c r="J99" s="19">
        <f t="shared" si="20"/>
        <v>0.12096928129358304</v>
      </c>
      <c r="K99" s="2"/>
      <c r="L99" s="2">
        <f t="shared" si="21"/>
        <v>-108363.86</v>
      </c>
      <c r="M99" s="2"/>
      <c r="N99" s="19">
        <f t="shared" si="22"/>
        <v>-1</v>
      </c>
      <c r="O99" s="11"/>
      <c r="P99" s="2">
        <v>0</v>
      </c>
      <c r="Q99" s="2"/>
      <c r="R99" s="19">
        <f t="shared" si="23"/>
        <v>0</v>
      </c>
      <c r="S99" s="2"/>
      <c r="T99" s="2">
        <v>296731.38</v>
      </c>
      <c r="U99" s="2"/>
      <c r="V99" s="19">
        <f t="shared" si="24"/>
        <v>8.2800356015598459E-2</v>
      </c>
      <c r="W99" s="2"/>
      <c r="X99" s="2">
        <f t="shared" si="25"/>
        <v>-296731.38</v>
      </c>
      <c r="Y99" s="2"/>
      <c r="Z99" s="19">
        <f t="shared" si="26"/>
        <v>-1</v>
      </c>
    </row>
    <row r="100" spans="1:26" s="24" customFormat="1" hidden="1" outlineLevel="1" x14ac:dyDescent="0.25">
      <c r="A100" s="44"/>
      <c r="B100" s="11" t="str">
        <f>CONCATENATE("          ", "5003", " - ", "PURCHASES @ COST-RENTAL TEXT")</f>
        <v xml:space="preserve">          5003 - PURCHASES @ COST-RENTAL TEXT</v>
      </c>
      <c r="C100" s="11"/>
      <c r="D100" s="2"/>
      <c r="E100" s="2"/>
      <c r="F100" s="19">
        <f t="shared" si="19"/>
        <v>0</v>
      </c>
      <c r="G100" s="2"/>
      <c r="H100" s="2">
        <v>781.74</v>
      </c>
      <c r="I100" s="2"/>
      <c r="J100" s="19">
        <f t="shared" si="20"/>
        <v>8.7267587144316942E-4</v>
      </c>
      <c r="K100" s="2"/>
      <c r="L100" s="2">
        <f t="shared" si="21"/>
        <v>-781.74</v>
      </c>
      <c r="M100" s="2"/>
      <c r="N100" s="19">
        <f t="shared" si="22"/>
        <v>-1</v>
      </c>
      <c r="O100" s="11"/>
      <c r="P100" s="2"/>
      <c r="Q100" s="2"/>
      <c r="R100" s="19">
        <f t="shared" si="23"/>
        <v>0</v>
      </c>
      <c r="S100" s="2"/>
      <c r="T100" s="2">
        <v>-11086.1</v>
      </c>
      <c r="U100" s="2"/>
      <c r="V100" s="19">
        <f t="shared" si="24"/>
        <v>-3.0934814741350445E-3</v>
      </c>
      <c r="W100" s="2"/>
      <c r="X100" s="2">
        <f t="shared" si="25"/>
        <v>11086.1</v>
      </c>
      <c r="Y100" s="2"/>
      <c r="Z100" s="19">
        <f t="shared" si="26"/>
        <v>-1</v>
      </c>
    </row>
    <row r="101" spans="1:26" s="24" customFormat="1" hidden="1" outlineLevel="1" x14ac:dyDescent="0.25">
      <c r="A101" s="44"/>
      <c r="B101" s="11" t="str">
        <f>CONCATENATE("          ", "5004", " - ", "PURCHASES @ COST-DIGITAL TEXT")</f>
        <v xml:space="preserve">          5004 - PURCHASES @ COST-DIGITAL TEXT</v>
      </c>
      <c r="C101" s="11"/>
      <c r="D101" s="2">
        <v>0</v>
      </c>
      <c r="E101" s="2"/>
      <c r="F101" s="19">
        <f t="shared" si="19"/>
        <v>0</v>
      </c>
      <c r="G101" s="2"/>
      <c r="H101" s="2">
        <v>60186.1</v>
      </c>
      <c r="I101" s="2"/>
      <c r="J101" s="19">
        <f t="shared" si="20"/>
        <v>6.7187245460467337E-2</v>
      </c>
      <c r="K101" s="2"/>
      <c r="L101" s="2">
        <f t="shared" si="21"/>
        <v>-60186.1</v>
      </c>
      <c r="M101" s="2"/>
      <c r="N101" s="19">
        <f t="shared" si="22"/>
        <v>-1</v>
      </c>
      <c r="O101" s="11"/>
      <c r="P101" s="2">
        <v>0</v>
      </c>
      <c r="Q101" s="2"/>
      <c r="R101" s="19">
        <f t="shared" si="23"/>
        <v>0</v>
      </c>
      <c r="S101" s="2"/>
      <c r="T101" s="2">
        <v>182616.07</v>
      </c>
      <c r="U101" s="2"/>
      <c r="V101" s="19">
        <f t="shared" si="24"/>
        <v>5.0957453876868196E-2</v>
      </c>
      <c r="W101" s="2"/>
      <c r="X101" s="2">
        <f t="shared" si="25"/>
        <v>-182616.07</v>
      </c>
      <c r="Y101" s="2"/>
      <c r="Z101" s="19">
        <f t="shared" si="26"/>
        <v>-1</v>
      </c>
    </row>
    <row r="102" spans="1:26" s="24" customFormat="1" hidden="1" outlineLevel="1" x14ac:dyDescent="0.25">
      <c r="A102" s="44"/>
      <c r="B102" s="11" t="str">
        <f>CONCATENATE("          ", "5013", " - ", "PURCHASES @ COST-TRADE BOOKS")</f>
        <v xml:space="preserve">          5013 - PURCHASES @ COST-TRADE BOOKS</v>
      </c>
      <c r="C102" s="11"/>
      <c r="D102" s="2"/>
      <c r="E102" s="2"/>
      <c r="F102" s="19">
        <f t="shared" si="19"/>
        <v>0</v>
      </c>
      <c r="G102" s="2"/>
      <c r="H102" s="2">
        <v>-9.36</v>
      </c>
      <c r="I102" s="2"/>
      <c r="J102" s="19">
        <f t="shared" si="20"/>
        <v>-1.0448801592227678E-5</v>
      </c>
      <c r="K102" s="2"/>
      <c r="L102" s="2">
        <f t="shared" si="21"/>
        <v>9.36</v>
      </c>
      <c r="M102" s="2"/>
      <c r="N102" s="19">
        <f t="shared" si="22"/>
        <v>-1</v>
      </c>
      <c r="O102" s="11"/>
      <c r="P102" s="2"/>
      <c r="Q102" s="2"/>
      <c r="R102" s="19">
        <f t="shared" si="23"/>
        <v>0</v>
      </c>
      <c r="S102" s="2"/>
      <c r="T102" s="2">
        <v>99.18</v>
      </c>
      <c r="U102" s="2"/>
      <c r="V102" s="19">
        <f t="shared" si="24"/>
        <v>2.767533150564344E-5</v>
      </c>
      <c r="W102" s="2"/>
      <c r="X102" s="2">
        <f t="shared" si="25"/>
        <v>-99.18</v>
      </c>
      <c r="Y102" s="2"/>
      <c r="Z102" s="19">
        <f t="shared" si="26"/>
        <v>-1</v>
      </c>
    </row>
    <row r="103" spans="1:26" s="24" customFormat="1" hidden="1" outlineLevel="1" x14ac:dyDescent="0.25">
      <c r="A103" s="44"/>
      <c r="B103" s="11" t="str">
        <f>CONCATENATE("          ", "5014", " - ", "PURCHASES @ COST-REMAINDERS")</f>
        <v xml:space="preserve">          5014 - PURCHASES @ COST-REMAINDERS</v>
      </c>
      <c r="C103" s="11"/>
      <c r="D103" s="2"/>
      <c r="E103" s="2"/>
      <c r="F103" s="19">
        <f t="shared" si="19"/>
        <v>0</v>
      </c>
      <c r="G103" s="2"/>
      <c r="H103" s="2"/>
      <c r="I103" s="2"/>
      <c r="J103" s="19">
        <f t="shared" si="20"/>
        <v>0</v>
      </c>
      <c r="K103" s="2"/>
      <c r="L103" s="2">
        <f t="shared" si="21"/>
        <v>0</v>
      </c>
      <c r="M103" s="2"/>
      <c r="N103" s="19">
        <f t="shared" si="22"/>
        <v>0</v>
      </c>
      <c r="O103" s="11"/>
      <c r="P103" s="2"/>
      <c r="Q103" s="2"/>
      <c r="R103" s="19">
        <f t="shared" si="23"/>
        <v>0</v>
      </c>
      <c r="S103" s="2"/>
      <c r="T103" s="2">
        <v>-12.51</v>
      </c>
      <c r="U103" s="2"/>
      <c r="V103" s="19">
        <f t="shared" si="24"/>
        <v>-3.4908086018915042E-6</v>
      </c>
      <c r="W103" s="2"/>
      <c r="X103" s="2">
        <f t="shared" si="25"/>
        <v>12.51</v>
      </c>
      <c r="Y103" s="2"/>
      <c r="Z103" s="19">
        <f t="shared" si="26"/>
        <v>-1</v>
      </c>
    </row>
    <row r="104" spans="1:26" s="24" customFormat="1" hidden="1" outlineLevel="1" x14ac:dyDescent="0.25">
      <c r="A104" s="44"/>
      <c r="B104" s="11" t="str">
        <f>CONCATENATE("          ", "5026", " - ", "PURCHASES @ COST-WRITING INSTR")</f>
        <v xml:space="preserve">          5026 - PURCHASES @ COST-WRITING INSTR</v>
      </c>
      <c r="C104" s="11"/>
      <c r="D104" s="2"/>
      <c r="E104" s="2"/>
      <c r="F104" s="19">
        <f t="shared" si="19"/>
        <v>0</v>
      </c>
      <c r="G104" s="2"/>
      <c r="H104" s="2"/>
      <c r="I104" s="2"/>
      <c r="J104" s="19">
        <f t="shared" si="20"/>
        <v>0</v>
      </c>
      <c r="K104" s="2"/>
      <c r="L104" s="2">
        <f t="shared" si="21"/>
        <v>0</v>
      </c>
      <c r="M104" s="2"/>
      <c r="N104" s="19">
        <f t="shared" si="22"/>
        <v>0</v>
      </c>
      <c r="O104" s="11"/>
      <c r="P104" s="2">
        <v>0</v>
      </c>
      <c r="Q104" s="2"/>
      <c r="R104" s="19">
        <f t="shared" si="23"/>
        <v>0</v>
      </c>
      <c r="S104" s="2"/>
      <c r="T104" s="2"/>
      <c r="U104" s="2"/>
      <c r="V104" s="19">
        <f t="shared" si="24"/>
        <v>0</v>
      </c>
      <c r="W104" s="2"/>
      <c r="X104" s="2">
        <f t="shared" si="25"/>
        <v>0</v>
      </c>
      <c r="Y104" s="2"/>
      <c r="Z104" s="19">
        <f t="shared" si="26"/>
        <v>0</v>
      </c>
    </row>
    <row r="105" spans="1:26" s="24" customFormat="1" hidden="1" outlineLevel="1" x14ac:dyDescent="0.25">
      <c r="A105" s="44"/>
      <c r="B105" s="11" t="str">
        <f>CONCATENATE("          ", "5027", " - ", "PURCHASES @ COST-SCHOOL SUPPLI")</f>
        <v xml:space="preserve">          5027 - PURCHASES @ COST-SCHOOL SUPPLI</v>
      </c>
      <c r="C105" s="11"/>
      <c r="D105" s="2">
        <v>0</v>
      </c>
      <c r="E105" s="2"/>
      <c r="F105" s="19">
        <f t="shared" si="19"/>
        <v>0</v>
      </c>
      <c r="G105" s="2"/>
      <c r="H105" s="2"/>
      <c r="I105" s="2"/>
      <c r="J105" s="19">
        <f t="shared" si="20"/>
        <v>0</v>
      </c>
      <c r="K105" s="2"/>
      <c r="L105" s="2">
        <f t="shared" si="21"/>
        <v>0</v>
      </c>
      <c r="M105" s="2"/>
      <c r="N105" s="19">
        <f t="shared" si="22"/>
        <v>0</v>
      </c>
      <c r="O105" s="11"/>
      <c r="P105" s="2">
        <v>0</v>
      </c>
      <c r="Q105" s="2"/>
      <c r="R105" s="19">
        <f t="shared" si="23"/>
        <v>0</v>
      </c>
      <c r="S105" s="2"/>
      <c r="T105" s="2">
        <v>8503.4</v>
      </c>
      <c r="U105" s="2"/>
      <c r="V105" s="19">
        <f t="shared" si="24"/>
        <v>2.3728011083392658E-3</v>
      </c>
      <c r="W105" s="2"/>
      <c r="X105" s="2">
        <f t="shared" si="25"/>
        <v>-8503.4</v>
      </c>
      <c r="Y105" s="2"/>
      <c r="Z105" s="19">
        <f t="shared" si="26"/>
        <v>-1</v>
      </c>
    </row>
    <row r="106" spans="1:26" s="24" customFormat="1" hidden="1" outlineLevel="1" x14ac:dyDescent="0.25">
      <c r="A106" s="44"/>
      <c r="B106" s="11" t="str">
        <f>CONCATENATE("          ", "5028", " - ", "PURCHASES @ COST-ART/TECH")</f>
        <v xml:space="preserve">          5028 - PURCHASES @ COST-ART/TECH</v>
      </c>
      <c r="C106" s="11"/>
      <c r="D106" s="2">
        <v>0</v>
      </c>
      <c r="E106" s="2"/>
      <c r="F106" s="19">
        <f t="shared" si="19"/>
        <v>0</v>
      </c>
      <c r="G106" s="2"/>
      <c r="H106" s="2">
        <v>-83.4</v>
      </c>
      <c r="I106" s="2"/>
      <c r="J106" s="19">
        <f t="shared" si="20"/>
        <v>-9.3101501366644058E-5</v>
      </c>
      <c r="K106" s="2"/>
      <c r="L106" s="2">
        <f t="shared" si="21"/>
        <v>83.4</v>
      </c>
      <c r="M106" s="2"/>
      <c r="N106" s="19">
        <f t="shared" si="22"/>
        <v>-1</v>
      </c>
      <c r="O106" s="11"/>
      <c r="P106" s="2">
        <v>0</v>
      </c>
      <c r="Q106" s="2"/>
      <c r="R106" s="19">
        <f t="shared" si="23"/>
        <v>0</v>
      </c>
      <c r="S106" s="2"/>
      <c r="T106" s="2">
        <v>-83.4</v>
      </c>
      <c r="U106" s="2"/>
      <c r="V106" s="19">
        <f t="shared" si="24"/>
        <v>-2.3272057345943363E-5</v>
      </c>
      <c r="W106" s="2"/>
      <c r="X106" s="2">
        <f t="shared" si="25"/>
        <v>83.4</v>
      </c>
      <c r="Y106" s="2"/>
      <c r="Z106" s="19">
        <f t="shared" si="26"/>
        <v>-1</v>
      </c>
    </row>
    <row r="107" spans="1:26" s="24" customFormat="1" hidden="1" outlineLevel="1" x14ac:dyDescent="0.25">
      <c r="A107" s="44"/>
      <c r="B107" s="11" t="str">
        <f>CONCATENATE("          ", "5031", " - ", "PURCHASES @ COST-FOOD")</f>
        <v xml:space="preserve">          5031 - PURCHASES @ COST-FOOD</v>
      </c>
      <c r="C107" s="11"/>
      <c r="D107" s="2">
        <v>0</v>
      </c>
      <c r="E107" s="2"/>
      <c r="F107" s="19">
        <f t="shared" si="19"/>
        <v>0</v>
      </c>
      <c r="G107" s="2"/>
      <c r="H107" s="2">
        <v>4065.92</v>
      </c>
      <c r="I107" s="2"/>
      <c r="J107" s="19">
        <f t="shared" si="20"/>
        <v>4.5388879668664915E-3</v>
      </c>
      <c r="K107" s="2"/>
      <c r="L107" s="2">
        <f t="shared" si="21"/>
        <v>-4065.92</v>
      </c>
      <c r="M107" s="2"/>
      <c r="N107" s="19">
        <f t="shared" si="22"/>
        <v>-1</v>
      </c>
      <c r="O107" s="11"/>
      <c r="P107" s="2">
        <v>0</v>
      </c>
      <c r="Q107" s="2"/>
      <c r="R107" s="19">
        <f t="shared" si="23"/>
        <v>0</v>
      </c>
      <c r="S107" s="2"/>
      <c r="T107" s="2">
        <v>4065.92</v>
      </c>
      <c r="U107" s="2"/>
      <c r="V107" s="19">
        <f t="shared" si="24"/>
        <v>1.1345602326620868E-3</v>
      </c>
      <c r="W107" s="2"/>
      <c r="X107" s="2">
        <f t="shared" si="25"/>
        <v>-4065.92</v>
      </c>
      <c r="Y107" s="2"/>
      <c r="Z107" s="19">
        <f t="shared" si="26"/>
        <v>-1</v>
      </c>
    </row>
    <row r="108" spans="1:26" s="24" customFormat="1" hidden="1" outlineLevel="1" x14ac:dyDescent="0.25">
      <c r="A108" s="44"/>
      <c r="B108" s="11" t="str">
        <f>CONCATENATE("          ", "5040", " - ", "PURCHASES @ COST-LOGO CLOTHING")</f>
        <v xml:space="preserve">          5040 - PURCHASES @ COST-LOGO CLOTHING</v>
      </c>
      <c r="C108" s="11"/>
      <c r="D108" s="2">
        <v>0</v>
      </c>
      <c r="E108" s="2"/>
      <c r="F108" s="19">
        <f t="shared" si="19"/>
        <v>0</v>
      </c>
      <c r="G108" s="2"/>
      <c r="H108" s="2">
        <v>4398.1499999999996</v>
      </c>
      <c r="I108" s="2"/>
      <c r="J108" s="19">
        <f t="shared" si="20"/>
        <v>4.9097646071427524E-3</v>
      </c>
      <c r="K108" s="2"/>
      <c r="L108" s="2">
        <f t="shared" si="21"/>
        <v>-4398.1499999999996</v>
      </c>
      <c r="M108" s="2"/>
      <c r="N108" s="19">
        <f t="shared" si="22"/>
        <v>-1</v>
      </c>
      <c r="O108" s="11"/>
      <c r="P108" s="2">
        <v>0</v>
      </c>
      <c r="Q108" s="2"/>
      <c r="R108" s="19">
        <f t="shared" si="23"/>
        <v>0</v>
      </c>
      <c r="S108" s="2"/>
      <c r="T108" s="2">
        <v>13750.05</v>
      </c>
      <c r="U108" s="2"/>
      <c r="V108" s="19">
        <f t="shared" si="24"/>
        <v>3.8368339581485431E-3</v>
      </c>
      <c r="W108" s="2"/>
      <c r="X108" s="2">
        <f t="shared" si="25"/>
        <v>-13750.05</v>
      </c>
      <c r="Y108" s="2"/>
      <c r="Z108" s="19">
        <f t="shared" si="26"/>
        <v>-1</v>
      </c>
    </row>
    <row r="109" spans="1:26" s="24" customFormat="1" hidden="1" outlineLevel="1" x14ac:dyDescent="0.25">
      <c r="A109" s="44"/>
      <c r="B109" s="11" t="str">
        <f>CONCATENATE("          ", "5041", " - ", "PURCHASES @ COST-LOGO GIFTS")</f>
        <v xml:space="preserve">          5041 - PURCHASES @ COST-LOGO GIFTS</v>
      </c>
      <c r="C109" s="11"/>
      <c r="D109" s="2">
        <v>0</v>
      </c>
      <c r="E109" s="2"/>
      <c r="F109" s="19">
        <f t="shared" si="19"/>
        <v>0</v>
      </c>
      <c r="G109" s="2"/>
      <c r="H109" s="2">
        <v>868</v>
      </c>
      <c r="I109" s="2"/>
      <c r="J109" s="19">
        <f t="shared" si="20"/>
        <v>9.6897006218521638E-4</v>
      </c>
      <c r="K109" s="2"/>
      <c r="L109" s="2">
        <f t="shared" si="21"/>
        <v>-868</v>
      </c>
      <c r="M109" s="2"/>
      <c r="N109" s="19">
        <f t="shared" si="22"/>
        <v>-1</v>
      </c>
      <c r="O109" s="11"/>
      <c r="P109" s="2">
        <v>0</v>
      </c>
      <c r="Q109" s="2"/>
      <c r="R109" s="19">
        <f t="shared" si="23"/>
        <v>0</v>
      </c>
      <c r="S109" s="2"/>
      <c r="T109" s="2">
        <v>1997.54</v>
      </c>
      <c r="U109" s="2"/>
      <c r="V109" s="19">
        <f t="shared" si="24"/>
        <v>5.5739646799539216E-4</v>
      </c>
      <c r="W109" s="2"/>
      <c r="X109" s="2">
        <f t="shared" si="25"/>
        <v>-1997.54</v>
      </c>
      <c r="Y109" s="2"/>
      <c r="Z109" s="19">
        <f t="shared" si="26"/>
        <v>-1</v>
      </c>
    </row>
    <row r="110" spans="1:26" s="24" customFormat="1" hidden="1" outlineLevel="1" x14ac:dyDescent="0.25">
      <c r="A110" s="44"/>
      <c r="B110" s="11" t="str">
        <f>CONCATENATE("          ", "5042", " - ", "PURCHASES @ COST-EVERYDAY GIFT")</f>
        <v xml:space="preserve">          5042 - PURCHASES @ COST-EVERYDAY GIFT</v>
      </c>
      <c r="C110" s="11"/>
      <c r="D110" s="2"/>
      <c r="E110" s="2"/>
      <c r="F110" s="19">
        <f t="shared" si="19"/>
        <v>0</v>
      </c>
      <c r="G110" s="2"/>
      <c r="H110" s="2">
        <v>522</v>
      </c>
      <c r="I110" s="2"/>
      <c r="J110" s="19">
        <f t="shared" si="20"/>
        <v>5.8272162725885133E-4</v>
      </c>
      <c r="K110" s="2"/>
      <c r="L110" s="2">
        <f t="shared" si="21"/>
        <v>-522</v>
      </c>
      <c r="M110" s="2"/>
      <c r="N110" s="19">
        <f t="shared" si="22"/>
        <v>-1</v>
      </c>
      <c r="O110" s="11"/>
      <c r="P110" s="2">
        <v>0</v>
      </c>
      <c r="Q110" s="2"/>
      <c r="R110" s="19">
        <f t="shared" si="23"/>
        <v>0</v>
      </c>
      <c r="S110" s="2"/>
      <c r="T110" s="2">
        <v>1491.15</v>
      </c>
      <c r="U110" s="2"/>
      <c r="V110" s="19">
        <f t="shared" si="24"/>
        <v>4.1609266560435788E-4</v>
      </c>
      <c r="W110" s="2"/>
      <c r="X110" s="2">
        <f t="shared" si="25"/>
        <v>-1491.15</v>
      </c>
      <c r="Y110" s="2"/>
      <c r="Z110" s="19">
        <f t="shared" si="26"/>
        <v>-1</v>
      </c>
    </row>
    <row r="111" spans="1:26" s="24" customFormat="1" hidden="1" outlineLevel="1" x14ac:dyDescent="0.25">
      <c r="A111" s="44"/>
      <c r="B111" s="11" t="str">
        <f>CONCATENATE("          ", "5043", " - ", "PURCHASES @ COST-CARDS")</f>
        <v xml:space="preserve">          5043 - PURCHASES @ COST-CARDS</v>
      </c>
      <c r="C111" s="11"/>
      <c r="D111" s="2"/>
      <c r="E111" s="2"/>
      <c r="F111" s="19">
        <f t="shared" si="19"/>
        <v>0</v>
      </c>
      <c r="G111" s="2"/>
      <c r="H111" s="2">
        <v>1401</v>
      </c>
      <c r="I111" s="2"/>
      <c r="J111" s="19">
        <f t="shared" si="20"/>
        <v>1.563971263964848E-3</v>
      </c>
      <c r="K111" s="2"/>
      <c r="L111" s="2">
        <f t="shared" si="21"/>
        <v>-1401</v>
      </c>
      <c r="M111" s="2"/>
      <c r="N111" s="19">
        <f t="shared" si="22"/>
        <v>-1</v>
      </c>
      <c r="O111" s="11"/>
      <c r="P111" s="2">
        <v>0</v>
      </c>
      <c r="Q111" s="2"/>
      <c r="R111" s="19">
        <f t="shared" si="23"/>
        <v>0</v>
      </c>
      <c r="S111" s="2"/>
      <c r="T111" s="2">
        <v>3116.25</v>
      </c>
      <c r="U111" s="2"/>
      <c r="V111" s="19">
        <f t="shared" si="24"/>
        <v>8.6956293410426859E-4</v>
      </c>
      <c r="W111" s="2"/>
      <c r="X111" s="2">
        <f t="shared" si="25"/>
        <v>-3116.25</v>
      </c>
      <c r="Y111" s="2"/>
      <c r="Z111" s="19">
        <f t="shared" si="26"/>
        <v>-1</v>
      </c>
    </row>
    <row r="112" spans="1:26" s="24" customFormat="1" hidden="1" outlineLevel="1" x14ac:dyDescent="0.25">
      <c r="A112" s="44"/>
      <c r="B112" s="11" t="str">
        <f>CONCATENATE("          ", "5044", " - ", "PURCHASES @ COST-ACCESSORIES")</f>
        <v xml:space="preserve">          5044 - PURCHASES @ COST-ACCESSORIES</v>
      </c>
      <c r="C112" s="11"/>
      <c r="D112" s="2"/>
      <c r="E112" s="2"/>
      <c r="F112" s="19">
        <f t="shared" si="19"/>
        <v>0</v>
      </c>
      <c r="G112" s="2"/>
      <c r="H112" s="2"/>
      <c r="I112" s="2"/>
      <c r="J112" s="19">
        <f t="shared" si="20"/>
        <v>0</v>
      </c>
      <c r="K112" s="2"/>
      <c r="L112" s="2">
        <f t="shared" si="21"/>
        <v>0</v>
      </c>
      <c r="M112" s="2"/>
      <c r="N112" s="19">
        <f t="shared" si="22"/>
        <v>0</v>
      </c>
      <c r="O112" s="11"/>
      <c r="P112" s="2">
        <v>0</v>
      </c>
      <c r="Q112" s="2"/>
      <c r="R112" s="19">
        <f t="shared" si="23"/>
        <v>0</v>
      </c>
      <c r="S112" s="2"/>
      <c r="T112" s="2"/>
      <c r="U112" s="2"/>
      <c r="V112" s="19">
        <f t="shared" si="24"/>
        <v>0</v>
      </c>
      <c r="W112" s="2"/>
      <c r="X112" s="2">
        <f t="shared" si="25"/>
        <v>0</v>
      </c>
      <c r="Y112" s="2"/>
      <c r="Z112" s="19">
        <f t="shared" si="26"/>
        <v>0</v>
      </c>
    </row>
    <row r="113" spans="1:26" s="24" customFormat="1" hidden="1" outlineLevel="1" x14ac:dyDescent="0.25">
      <c r="A113" s="44"/>
      <c r="B113" s="11" t="str">
        <f>CONCATENATE("          ", "5045", " - ", "PURCHASES @ COST-SPECIAL ORDER")</f>
        <v xml:space="preserve">          5045 - PURCHASES @ COST-SPECIAL ORDER</v>
      </c>
      <c r="C113" s="11"/>
      <c r="D113" s="2">
        <v>0</v>
      </c>
      <c r="E113" s="2"/>
      <c r="F113" s="19">
        <f t="shared" si="19"/>
        <v>0</v>
      </c>
      <c r="G113" s="2"/>
      <c r="H113" s="2">
        <v>52784.12</v>
      </c>
      <c r="I113" s="2"/>
      <c r="J113" s="19">
        <f t="shared" si="20"/>
        <v>5.8924230459437697E-2</v>
      </c>
      <c r="K113" s="2"/>
      <c r="L113" s="2">
        <f t="shared" si="21"/>
        <v>-52784.12</v>
      </c>
      <c r="M113" s="2"/>
      <c r="N113" s="19">
        <f t="shared" si="22"/>
        <v>-1</v>
      </c>
      <c r="O113" s="11"/>
      <c r="P113" s="2">
        <v>0</v>
      </c>
      <c r="Q113" s="2"/>
      <c r="R113" s="19">
        <f t="shared" si="23"/>
        <v>0</v>
      </c>
      <c r="S113" s="2"/>
      <c r="T113" s="2">
        <v>61174.29</v>
      </c>
      <c r="U113" s="2"/>
      <c r="V113" s="19">
        <f t="shared" si="24"/>
        <v>1.7070162889416901E-2</v>
      </c>
      <c r="W113" s="2"/>
      <c r="X113" s="2">
        <f t="shared" si="25"/>
        <v>-61174.29</v>
      </c>
      <c r="Y113" s="2"/>
      <c r="Z113" s="19">
        <f t="shared" si="26"/>
        <v>-1</v>
      </c>
    </row>
    <row r="114" spans="1:26" s="24" customFormat="1" hidden="1" outlineLevel="1" x14ac:dyDescent="0.25">
      <c r="A114" s="44"/>
      <c r="B114" s="11" t="str">
        <f>CONCATENATE("          ", "5053", " - ", "PURCHASES @ COST-FOOD")</f>
        <v xml:space="preserve">          5053 - PURCHASES @ COST-FOOD</v>
      </c>
      <c r="C114" s="11"/>
      <c r="D114" s="2">
        <v>418312.58</v>
      </c>
      <c r="E114" s="2"/>
      <c r="F114" s="19">
        <f t="shared" si="19"/>
        <v>0.17803543284606688</v>
      </c>
      <c r="G114" s="2"/>
      <c r="H114" s="2">
        <v>41608.75</v>
      </c>
      <c r="I114" s="2"/>
      <c r="J114" s="19">
        <f t="shared" si="20"/>
        <v>4.6448886031047375E-2</v>
      </c>
      <c r="K114" s="2"/>
      <c r="L114" s="2">
        <f t="shared" si="21"/>
        <v>376703.83</v>
      </c>
      <c r="M114" s="2"/>
      <c r="N114" s="19">
        <f t="shared" si="22"/>
        <v>9.0534762519902667</v>
      </c>
      <c r="O114" s="11"/>
      <c r="P114" s="2">
        <v>716267.81</v>
      </c>
      <c r="Q114" s="2"/>
      <c r="R114" s="19">
        <f t="shared" si="23"/>
        <v>0.13407517054199697</v>
      </c>
      <c r="S114" s="2"/>
      <c r="T114" s="2">
        <v>128080.36</v>
      </c>
      <c r="U114" s="2"/>
      <c r="V114" s="19">
        <f t="shared" si="24"/>
        <v>3.5739730009701084E-2</v>
      </c>
      <c r="W114" s="2"/>
      <c r="X114" s="2">
        <f t="shared" si="25"/>
        <v>588187.45000000007</v>
      </c>
      <c r="Y114" s="2"/>
      <c r="Z114" s="19">
        <f t="shared" si="26"/>
        <v>4.5923313301118149</v>
      </c>
    </row>
    <row r="115" spans="1:26" s="24" customFormat="1" hidden="1" outlineLevel="1" x14ac:dyDescent="0.25">
      <c r="A115" s="44"/>
      <c r="B115" s="11" t="str">
        <f>CONCATENATE("          ", "5059", " - ", "PURCHASES @ COST-FOOD")</f>
        <v xml:space="preserve">          5059 - PURCHASES @ COST-FOOD</v>
      </c>
      <c r="C115" s="11"/>
      <c r="D115" s="2">
        <v>-2291</v>
      </c>
      <c r="E115" s="2"/>
      <c r="F115" s="19">
        <f t="shared" si="19"/>
        <v>-9.7505835624245199E-4</v>
      </c>
      <c r="G115" s="2"/>
      <c r="H115" s="2">
        <v>3861.48</v>
      </c>
      <c r="I115" s="2"/>
      <c r="J115" s="19">
        <f t="shared" si="20"/>
        <v>4.3106664927730059E-3</v>
      </c>
      <c r="K115" s="2"/>
      <c r="L115" s="2">
        <f t="shared" si="21"/>
        <v>-6152.48</v>
      </c>
      <c r="M115" s="2"/>
      <c r="N115" s="19">
        <f t="shared" si="22"/>
        <v>-1.5932958347576576</v>
      </c>
      <c r="O115" s="11"/>
      <c r="P115" s="2">
        <v>-85467</v>
      </c>
      <c r="Q115" s="2"/>
      <c r="R115" s="19">
        <f t="shared" si="23"/>
        <v>-1.5998209665059295E-2</v>
      </c>
      <c r="S115" s="2"/>
      <c r="T115" s="2">
        <v>-22871.61</v>
      </c>
      <c r="U115" s="2"/>
      <c r="V115" s="19">
        <f t="shared" si="24"/>
        <v>-6.3821273323027778E-3</v>
      </c>
      <c r="W115" s="2"/>
      <c r="X115" s="2">
        <f t="shared" si="25"/>
        <v>-62595.39</v>
      </c>
      <c r="Y115" s="2"/>
      <c r="Z115" s="19">
        <f t="shared" si="26"/>
        <v>2.7368160789730149</v>
      </c>
    </row>
    <row r="116" spans="1:26" s="24" customFormat="1" hidden="1" outlineLevel="1" x14ac:dyDescent="0.25">
      <c r="A116" s="44"/>
      <c r="B116" s="11" t="str">
        <f>CONCATENATE("          ", "5081", " - ", "PURCHASES @ COST-ELECTRONICS")</f>
        <v xml:space="preserve">          5081 - PURCHASES @ COST-ELECTRONICS</v>
      </c>
      <c r="C116" s="11"/>
      <c r="D116" s="2">
        <v>0</v>
      </c>
      <c r="E116" s="2"/>
      <c r="F116" s="19">
        <f t="shared" si="19"/>
        <v>0</v>
      </c>
      <c r="G116" s="2"/>
      <c r="H116" s="2">
        <v>8274.98</v>
      </c>
      <c r="I116" s="2"/>
      <c r="J116" s="19">
        <f t="shared" si="20"/>
        <v>9.2375666879970283E-3</v>
      </c>
      <c r="K116" s="2"/>
      <c r="L116" s="2">
        <f t="shared" si="21"/>
        <v>-8274.98</v>
      </c>
      <c r="M116" s="2"/>
      <c r="N116" s="19">
        <f t="shared" si="22"/>
        <v>-1</v>
      </c>
      <c r="O116" s="11"/>
      <c r="P116" s="2">
        <v>0</v>
      </c>
      <c r="Q116" s="2"/>
      <c r="R116" s="19">
        <f t="shared" si="23"/>
        <v>0</v>
      </c>
      <c r="S116" s="2"/>
      <c r="T116" s="2">
        <v>15697.45</v>
      </c>
      <c r="U116" s="2"/>
      <c r="V116" s="19">
        <f t="shared" si="24"/>
        <v>4.3802392875908714E-3</v>
      </c>
      <c r="W116" s="2"/>
      <c r="X116" s="2">
        <f t="shared" si="25"/>
        <v>-15697.45</v>
      </c>
      <c r="Y116" s="2"/>
      <c r="Z116" s="19">
        <f t="shared" si="26"/>
        <v>-1</v>
      </c>
    </row>
    <row r="117" spans="1:26" s="24" customFormat="1" hidden="1" outlineLevel="1" x14ac:dyDescent="0.25">
      <c r="A117" s="44"/>
      <c r="B117" s="11" t="str">
        <f>CONCATENATE("          ", "5082", " - ", "PURCHASES @ COST-COMPUTER HARD")</f>
        <v xml:space="preserve">          5082 - PURCHASES @ COST-COMPUTER HARD</v>
      </c>
      <c r="C117" s="11"/>
      <c r="D117" s="2">
        <v>-22380.03</v>
      </c>
      <c r="E117" s="2"/>
      <c r="F117" s="19">
        <f t="shared" si="19"/>
        <v>-9.525026304869821E-3</v>
      </c>
      <c r="G117" s="2"/>
      <c r="H117" s="2">
        <v>470149.41</v>
      </c>
      <c r="I117" s="2"/>
      <c r="J117" s="19">
        <f t="shared" si="20"/>
        <v>0.52483951963599396</v>
      </c>
      <c r="K117" s="2"/>
      <c r="L117" s="2">
        <f t="shared" si="21"/>
        <v>-492529.43999999994</v>
      </c>
      <c r="M117" s="2"/>
      <c r="N117" s="19">
        <f t="shared" si="22"/>
        <v>-1.0476019527494462</v>
      </c>
      <c r="O117" s="11"/>
      <c r="P117" s="2">
        <v>-56783.85</v>
      </c>
      <c r="Q117" s="2"/>
      <c r="R117" s="19">
        <f t="shared" si="23"/>
        <v>-1.0629130984933099E-2</v>
      </c>
      <c r="S117" s="2"/>
      <c r="T117" s="2">
        <v>713373.21</v>
      </c>
      <c r="U117" s="2"/>
      <c r="V117" s="19">
        <f t="shared" si="24"/>
        <v>0.19906069846738245</v>
      </c>
      <c r="W117" s="2"/>
      <c r="X117" s="2">
        <f t="shared" si="25"/>
        <v>-770157.05999999994</v>
      </c>
      <c r="Y117" s="2"/>
      <c r="Z117" s="19">
        <f t="shared" si="26"/>
        <v>-1.0795990783001228</v>
      </c>
    </row>
    <row r="118" spans="1:26" s="24" customFormat="1" hidden="1" outlineLevel="1" x14ac:dyDescent="0.25">
      <c r="A118" s="44"/>
      <c r="B118" s="11" t="str">
        <f>CONCATENATE("          ", "5083", " - ", "PURCHASES @ COST-COMPUTER EQUI")</f>
        <v xml:space="preserve">          5083 - PURCHASES @ COST-COMPUTER EQUI</v>
      </c>
      <c r="C118" s="11"/>
      <c r="D118" s="2">
        <v>0</v>
      </c>
      <c r="E118" s="2"/>
      <c r="F118" s="19">
        <f t="shared" si="19"/>
        <v>0</v>
      </c>
      <c r="G118" s="2"/>
      <c r="H118" s="2">
        <v>24155.15</v>
      </c>
      <c r="I118" s="2"/>
      <c r="J118" s="19">
        <f t="shared" si="20"/>
        <v>2.6964996771420773E-2</v>
      </c>
      <c r="K118" s="2"/>
      <c r="L118" s="2">
        <f t="shared" si="21"/>
        <v>-24155.15</v>
      </c>
      <c r="M118" s="2"/>
      <c r="N118" s="19">
        <f t="shared" si="22"/>
        <v>-1</v>
      </c>
      <c r="O118" s="11"/>
      <c r="P118" s="2">
        <v>0</v>
      </c>
      <c r="Q118" s="2"/>
      <c r="R118" s="19">
        <f t="shared" si="23"/>
        <v>0</v>
      </c>
      <c r="S118" s="2"/>
      <c r="T118" s="2">
        <v>61434</v>
      </c>
      <c r="U118" s="2"/>
      <c r="V118" s="19">
        <f t="shared" si="24"/>
        <v>1.7142632745691663E-2</v>
      </c>
      <c r="W118" s="2"/>
      <c r="X118" s="2">
        <f t="shared" si="25"/>
        <v>-61434</v>
      </c>
      <c r="Y118" s="2"/>
      <c r="Z118" s="19">
        <f t="shared" si="26"/>
        <v>-1</v>
      </c>
    </row>
    <row r="119" spans="1:26" s="24" customFormat="1" hidden="1" outlineLevel="1" x14ac:dyDescent="0.25">
      <c r="A119" s="44"/>
      <c r="B119" s="11" t="str">
        <f>CONCATENATE("          ", "5085", " - ", "PURCHASES @ COST-SOFTWARE")</f>
        <v xml:space="preserve">          5085 - PURCHASES @ COST-SOFTWARE</v>
      </c>
      <c r="C119" s="11"/>
      <c r="D119" s="2">
        <v>0</v>
      </c>
      <c r="E119" s="2"/>
      <c r="F119" s="19">
        <f t="shared" si="19"/>
        <v>0</v>
      </c>
      <c r="G119" s="2"/>
      <c r="H119" s="2">
        <v>8609.1200000000008</v>
      </c>
      <c r="I119" s="2"/>
      <c r="J119" s="19">
        <f t="shared" si="20"/>
        <v>9.6105755089400807E-3</v>
      </c>
      <c r="K119" s="2"/>
      <c r="L119" s="2">
        <f t="shared" si="21"/>
        <v>-8609.1200000000008</v>
      </c>
      <c r="M119" s="2"/>
      <c r="N119" s="19">
        <f t="shared" si="22"/>
        <v>-1</v>
      </c>
      <c r="O119" s="11"/>
      <c r="P119" s="2">
        <v>0</v>
      </c>
      <c r="Q119" s="2"/>
      <c r="R119" s="19">
        <f t="shared" si="23"/>
        <v>0</v>
      </c>
      <c r="S119" s="2"/>
      <c r="T119" s="2">
        <v>14837.68</v>
      </c>
      <c r="U119" s="2"/>
      <c r="V119" s="19">
        <f t="shared" si="24"/>
        <v>4.1403278158364141E-3</v>
      </c>
      <c r="W119" s="2"/>
      <c r="X119" s="2">
        <f t="shared" si="25"/>
        <v>-14837.68</v>
      </c>
      <c r="Y119" s="2"/>
      <c r="Z119" s="19">
        <f t="shared" si="26"/>
        <v>-1</v>
      </c>
    </row>
    <row r="120" spans="1:26" s="24" customFormat="1" hidden="1" outlineLevel="1" x14ac:dyDescent="0.25">
      <c r="A120" s="44"/>
      <c r="B120" s="11" t="str">
        <f>CONCATENATE("          ", "5086", " - ", "PURCHASES @ COST-COMPUTER SUPP")</f>
        <v xml:space="preserve">          5086 - PURCHASES @ COST-COMPUTER SUPP</v>
      </c>
      <c r="C120" s="11"/>
      <c r="D120" s="2">
        <v>0</v>
      </c>
      <c r="E120" s="2"/>
      <c r="F120" s="19">
        <f t="shared" si="19"/>
        <v>0</v>
      </c>
      <c r="G120" s="2"/>
      <c r="H120" s="2">
        <v>18.760000000000002</v>
      </c>
      <c r="I120" s="2"/>
      <c r="J120" s="19">
        <f t="shared" si="20"/>
        <v>2.0942256182712743E-5</v>
      </c>
      <c r="K120" s="2"/>
      <c r="L120" s="2">
        <f t="shared" si="21"/>
        <v>-18.760000000000002</v>
      </c>
      <c r="M120" s="2"/>
      <c r="N120" s="19">
        <f t="shared" si="22"/>
        <v>-1</v>
      </c>
      <c r="O120" s="11"/>
      <c r="P120" s="2">
        <v>0</v>
      </c>
      <c r="Q120" s="2"/>
      <c r="R120" s="19">
        <f t="shared" si="23"/>
        <v>0</v>
      </c>
      <c r="S120" s="2"/>
      <c r="T120" s="2">
        <v>21755.97</v>
      </c>
      <c r="U120" s="2"/>
      <c r="V120" s="19">
        <f t="shared" si="24"/>
        <v>6.0708175234607123E-3</v>
      </c>
      <c r="W120" s="2"/>
      <c r="X120" s="2">
        <f t="shared" si="25"/>
        <v>-21755.97</v>
      </c>
      <c r="Y120" s="2"/>
      <c r="Z120" s="19">
        <f t="shared" si="26"/>
        <v>-1</v>
      </c>
    </row>
    <row r="121" spans="1:26" s="24" customFormat="1" hidden="1" outlineLevel="1" x14ac:dyDescent="0.25">
      <c r="A121" s="44"/>
      <c r="B121" s="11" t="str">
        <f>CONCATENATE("          ", "5092", " - ", "PURCHASES @ COST-GRAD MERCH")</f>
        <v xml:space="preserve">          5092 - PURCHASES @ COST-GRAD MERCH</v>
      </c>
      <c r="C121" s="11"/>
      <c r="D121" s="2"/>
      <c r="E121" s="2"/>
      <c r="F121" s="19">
        <f t="shared" si="19"/>
        <v>0</v>
      </c>
      <c r="G121" s="2"/>
      <c r="H121" s="2"/>
      <c r="I121" s="2"/>
      <c r="J121" s="19">
        <f t="shared" si="20"/>
        <v>0</v>
      </c>
      <c r="K121" s="2"/>
      <c r="L121" s="2">
        <f t="shared" si="21"/>
        <v>0</v>
      </c>
      <c r="M121" s="2"/>
      <c r="N121" s="19">
        <f t="shared" si="22"/>
        <v>0</v>
      </c>
      <c r="O121" s="11"/>
      <c r="P121" s="2"/>
      <c r="Q121" s="2"/>
      <c r="R121" s="19">
        <f t="shared" si="23"/>
        <v>0</v>
      </c>
      <c r="S121" s="2"/>
      <c r="T121" s="2">
        <v>0</v>
      </c>
      <c r="U121" s="2"/>
      <c r="V121" s="19">
        <f t="shared" si="24"/>
        <v>0</v>
      </c>
      <c r="W121" s="2"/>
      <c r="X121" s="2">
        <f t="shared" si="25"/>
        <v>0</v>
      </c>
      <c r="Y121" s="2"/>
      <c r="Z121" s="19">
        <f t="shared" si="26"/>
        <v>0</v>
      </c>
    </row>
    <row r="122" spans="1:26" s="24" customFormat="1" hidden="1" outlineLevel="1" x14ac:dyDescent="0.25">
      <c r="A122" s="44"/>
      <c r="B122" s="11" t="str">
        <f>CONCATENATE("          ", "5200", " - ", "PURCHASES OFFSET")</f>
        <v xml:space="preserve">          5200 - PURCHASES OFFSET</v>
      </c>
      <c r="C122" s="11"/>
      <c r="D122" s="2">
        <v>-866523.34</v>
      </c>
      <c r="E122" s="2"/>
      <c r="F122" s="19">
        <f t="shared" si="19"/>
        <v>-0.36879564537150555</v>
      </c>
      <c r="G122" s="2"/>
      <c r="H122" s="2">
        <v>-1333358.52</v>
      </c>
      <c r="I122" s="2"/>
      <c r="J122" s="19">
        <f t="shared" si="20"/>
        <v>-1.4884613917506775</v>
      </c>
      <c r="K122" s="2"/>
      <c r="L122" s="2">
        <f t="shared" si="21"/>
        <v>466835.18000000005</v>
      </c>
      <c r="M122" s="2"/>
      <c r="N122" s="19">
        <f t="shared" si="22"/>
        <v>-0.35011977123752136</v>
      </c>
      <c r="O122" s="11"/>
      <c r="P122" s="2">
        <v>-1899863.51</v>
      </c>
      <c r="Q122" s="2"/>
      <c r="R122" s="19">
        <f t="shared" si="23"/>
        <v>-0.35562749093773588</v>
      </c>
      <c r="S122" s="2"/>
      <c r="T122" s="2">
        <v>-2362293.5</v>
      </c>
      <c r="U122" s="2"/>
      <c r="V122" s="19">
        <f t="shared" si="24"/>
        <v>-0.65917781534711339</v>
      </c>
      <c r="W122" s="2"/>
      <c r="X122" s="2">
        <f t="shared" si="25"/>
        <v>462429.99</v>
      </c>
      <c r="Y122" s="2"/>
      <c r="Z122" s="19">
        <f t="shared" si="26"/>
        <v>-0.19575467231315669</v>
      </c>
    </row>
    <row r="123" spans="1:26" s="24" customFormat="1" hidden="1" outlineLevel="1" x14ac:dyDescent="0.25">
      <c r="A123" s="44"/>
      <c r="B123" s="11" t="str">
        <f>CONCATENATE("          ", "5300", " - ", "COG$ OFFSET")</f>
        <v xml:space="preserve">          5300 - COG$ OFFSET</v>
      </c>
      <c r="C123" s="11"/>
      <c r="D123" s="2">
        <v>478937.18</v>
      </c>
      <c r="E123" s="2"/>
      <c r="F123" s="19">
        <f t="shared" si="19"/>
        <v>0.20383749431435849</v>
      </c>
      <c r="G123" s="2"/>
      <c r="H123" s="2">
        <v>466553</v>
      </c>
      <c r="I123" s="2"/>
      <c r="J123" s="19">
        <f t="shared" si="20"/>
        <v>0.52082475739942313</v>
      </c>
      <c r="K123" s="2"/>
      <c r="L123" s="2">
        <f t="shared" si="21"/>
        <v>12384.179999999993</v>
      </c>
      <c r="M123" s="2"/>
      <c r="N123" s="19">
        <f t="shared" si="22"/>
        <v>2.6543993929950067E-2</v>
      </c>
      <c r="O123" s="11"/>
      <c r="P123" s="2">
        <v>1802304.35</v>
      </c>
      <c r="Q123" s="2"/>
      <c r="R123" s="19">
        <f t="shared" si="23"/>
        <v>0.33736580050251452</v>
      </c>
      <c r="S123" s="2"/>
      <c r="T123" s="2">
        <v>2035030</v>
      </c>
      <c r="U123" s="2"/>
      <c r="V123" s="19">
        <f t="shared" si="24"/>
        <v>0.56785773214286717</v>
      </c>
      <c r="W123" s="2"/>
      <c r="X123" s="2">
        <f t="shared" si="25"/>
        <v>-232725.64999999991</v>
      </c>
      <c r="Y123" s="2"/>
      <c r="Z123" s="19">
        <f t="shared" si="26"/>
        <v>-0.11435981287745139</v>
      </c>
    </row>
    <row r="124" spans="1:26" s="24" customFormat="1" hidden="1" outlineLevel="1" x14ac:dyDescent="0.25">
      <c r="A124" s="44"/>
      <c r="B124" s="11" t="str">
        <f>CONCATENATE("          ", "5500", " - ", "FREIGHT-IN")</f>
        <v xml:space="preserve">          5500 - FREIGHT-IN</v>
      </c>
      <c r="C124" s="11"/>
      <c r="D124" s="2">
        <v>17166.12</v>
      </c>
      <c r="E124" s="2"/>
      <c r="F124" s="19">
        <f t="shared" si="19"/>
        <v>7.3059662812137403E-3</v>
      </c>
      <c r="G124" s="2"/>
      <c r="H124" s="2">
        <v>0</v>
      </c>
      <c r="I124" s="2"/>
      <c r="J124" s="19">
        <f t="shared" si="20"/>
        <v>0</v>
      </c>
      <c r="K124" s="2"/>
      <c r="L124" s="2">
        <f t="shared" si="21"/>
        <v>17166.12</v>
      </c>
      <c r="M124" s="2"/>
      <c r="N124" s="19">
        <f t="shared" si="22"/>
        <v>0</v>
      </c>
      <c r="O124" s="11"/>
      <c r="P124" s="2">
        <v>27376.44</v>
      </c>
      <c r="Q124" s="2"/>
      <c r="R124" s="19">
        <f t="shared" si="23"/>
        <v>5.1244811097021755E-3</v>
      </c>
      <c r="S124" s="2"/>
      <c r="T124" s="2">
        <v>0</v>
      </c>
      <c r="U124" s="2"/>
      <c r="V124" s="19">
        <f t="shared" si="24"/>
        <v>0</v>
      </c>
      <c r="W124" s="2"/>
      <c r="X124" s="2">
        <f t="shared" si="25"/>
        <v>27376.44</v>
      </c>
      <c r="Y124" s="2"/>
      <c r="Z124" s="19">
        <f t="shared" si="26"/>
        <v>0</v>
      </c>
    </row>
    <row r="125" spans="1:26" s="24" customFormat="1" hidden="1" outlineLevel="1" x14ac:dyDescent="0.25">
      <c r="A125" s="44"/>
      <c r="B125" s="11" t="str">
        <f>CONCATENATE("          ", "5501", " - ", "FREIGHT-IN-NEW TEXT")</f>
        <v xml:space="preserve">          5501 - FREIGHT-IN-NEW TEXT</v>
      </c>
      <c r="C125" s="11"/>
      <c r="D125" s="2">
        <v>0</v>
      </c>
      <c r="E125" s="2"/>
      <c r="F125" s="19">
        <f t="shared" si="19"/>
        <v>0</v>
      </c>
      <c r="G125" s="2"/>
      <c r="H125" s="2">
        <v>5279.6</v>
      </c>
      <c r="I125" s="2"/>
      <c r="J125" s="19">
        <f t="shared" si="20"/>
        <v>5.8937492399920143E-3</v>
      </c>
      <c r="K125" s="2"/>
      <c r="L125" s="2">
        <f t="shared" si="21"/>
        <v>-5279.6</v>
      </c>
      <c r="M125" s="2"/>
      <c r="N125" s="19">
        <f t="shared" si="22"/>
        <v>-1</v>
      </c>
      <c r="O125" s="11"/>
      <c r="P125" s="2">
        <v>0</v>
      </c>
      <c r="Q125" s="2"/>
      <c r="R125" s="19">
        <f t="shared" si="23"/>
        <v>0</v>
      </c>
      <c r="S125" s="2"/>
      <c r="T125" s="2">
        <v>10762.88</v>
      </c>
      <c r="U125" s="2"/>
      <c r="V125" s="19">
        <f t="shared" si="24"/>
        <v>3.0032896950540392E-3</v>
      </c>
      <c r="W125" s="2"/>
      <c r="X125" s="2">
        <f t="shared" si="25"/>
        <v>-10762.88</v>
      </c>
      <c r="Y125" s="2"/>
      <c r="Z125" s="19">
        <f t="shared" si="26"/>
        <v>-1</v>
      </c>
    </row>
    <row r="126" spans="1:26" s="24" customFormat="1" hidden="1" outlineLevel="1" x14ac:dyDescent="0.25">
      <c r="A126" s="44"/>
      <c r="B126" s="11" t="str">
        <f>CONCATENATE("          ", "5502", " - ", "FREIGHT-IN-USED TEXT")</f>
        <v xml:space="preserve">          5502 - FREIGHT-IN-USED TEXT</v>
      </c>
      <c r="C126" s="11"/>
      <c r="D126" s="2">
        <v>0</v>
      </c>
      <c r="E126" s="2"/>
      <c r="F126" s="19">
        <f t="shared" si="19"/>
        <v>0</v>
      </c>
      <c r="G126" s="2"/>
      <c r="H126" s="2">
        <v>7276.27</v>
      </c>
      <c r="I126" s="2"/>
      <c r="J126" s="19">
        <f t="shared" si="20"/>
        <v>8.1226817907562501E-3</v>
      </c>
      <c r="K126" s="2"/>
      <c r="L126" s="2">
        <f t="shared" si="21"/>
        <v>-7276.27</v>
      </c>
      <c r="M126" s="2"/>
      <c r="N126" s="19">
        <f t="shared" si="22"/>
        <v>-1</v>
      </c>
      <c r="O126" s="11"/>
      <c r="P126" s="2">
        <v>0</v>
      </c>
      <c r="Q126" s="2"/>
      <c r="R126" s="19">
        <f t="shared" si="23"/>
        <v>0</v>
      </c>
      <c r="S126" s="2"/>
      <c r="T126" s="2">
        <v>8510.82</v>
      </c>
      <c r="U126" s="2"/>
      <c r="V126" s="19">
        <f t="shared" si="24"/>
        <v>2.3748715959352718E-3</v>
      </c>
      <c r="W126" s="2"/>
      <c r="X126" s="2">
        <f t="shared" si="25"/>
        <v>-8510.82</v>
      </c>
      <c r="Y126" s="2"/>
      <c r="Z126" s="19">
        <f t="shared" si="26"/>
        <v>-1</v>
      </c>
    </row>
    <row r="127" spans="1:26" s="24" customFormat="1" hidden="1" outlineLevel="1" x14ac:dyDescent="0.25">
      <c r="A127" s="44"/>
      <c r="B127" s="11" t="str">
        <f>CONCATENATE("          ", "5504", " - ", "FREIGHT-IN-DIGITAL TEXT")</f>
        <v xml:space="preserve">          5504 - FREIGHT-IN-DIGITAL TEXT</v>
      </c>
      <c r="C127" s="11"/>
      <c r="D127" s="2"/>
      <c r="E127" s="2"/>
      <c r="F127" s="19">
        <f t="shared" si="19"/>
        <v>0</v>
      </c>
      <c r="G127" s="2"/>
      <c r="H127" s="2">
        <v>10.99</v>
      </c>
      <c r="I127" s="2"/>
      <c r="J127" s="19">
        <f t="shared" si="20"/>
        <v>1.2268411271216046E-5</v>
      </c>
      <c r="K127" s="2"/>
      <c r="L127" s="2">
        <f t="shared" si="21"/>
        <v>-10.99</v>
      </c>
      <c r="M127" s="2"/>
      <c r="N127" s="19">
        <f t="shared" si="22"/>
        <v>-1</v>
      </c>
      <c r="O127" s="11"/>
      <c r="P127" s="2"/>
      <c r="Q127" s="2"/>
      <c r="R127" s="19">
        <f t="shared" si="23"/>
        <v>0</v>
      </c>
      <c r="S127" s="2"/>
      <c r="T127" s="2">
        <v>10.99</v>
      </c>
      <c r="U127" s="2"/>
      <c r="V127" s="19">
        <f t="shared" si="24"/>
        <v>3.0666655903107621E-6</v>
      </c>
      <c r="W127" s="2"/>
      <c r="X127" s="2">
        <f t="shared" si="25"/>
        <v>-10.99</v>
      </c>
      <c r="Y127" s="2"/>
      <c r="Z127" s="19">
        <f t="shared" si="26"/>
        <v>-1</v>
      </c>
    </row>
    <row r="128" spans="1:26" s="24" customFormat="1" hidden="1" outlineLevel="1" x14ac:dyDescent="0.25">
      <c r="A128" s="44"/>
      <c r="B128" s="11" t="str">
        <f>CONCATENATE("          ", "5518", " - ", "FREIGHT-IN-STUDY GUIDES")</f>
        <v xml:space="preserve">          5518 - FREIGHT-IN-STUDY GUIDES</v>
      </c>
      <c r="C128" s="11"/>
      <c r="D128" s="2"/>
      <c r="E128" s="2"/>
      <c r="F128" s="19">
        <f t="shared" si="19"/>
        <v>0</v>
      </c>
      <c r="G128" s="2"/>
      <c r="H128" s="2"/>
      <c r="I128" s="2"/>
      <c r="J128" s="19">
        <f t="shared" si="20"/>
        <v>0</v>
      </c>
      <c r="K128" s="2"/>
      <c r="L128" s="2">
        <f t="shared" si="21"/>
        <v>0</v>
      </c>
      <c r="M128" s="2"/>
      <c r="N128" s="19">
        <f t="shared" si="22"/>
        <v>0</v>
      </c>
      <c r="O128" s="11"/>
      <c r="P128" s="2">
        <v>0</v>
      </c>
      <c r="Q128" s="2"/>
      <c r="R128" s="19">
        <f t="shared" si="23"/>
        <v>0</v>
      </c>
      <c r="S128" s="2"/>
      <c r="T128" s="2"/>
      <c r="U128" s="2"/>
      <c r="V128" s="19">
        <f t="shared" si="24"/>
        <v>0</v>
      </c>
      <c r="W128" s="2"/>
      <c r="X128" s="2">
        <f t="shared" si="25"/>
        <v>0</v>
      </c>
      <c r="Y128" s="2"/>
      <c r="Z128" s="19">
        <f t="shared" si="26"/>
        <v>0</v>
      </c>
    </row>
    <row r="129" spans="1:26" s="24" customFormat="1" hidden="1" outlineLevel="1" x14ac:dyDescent="0.25">
      <c r="A129" s="44"/>
      <c r="B129" s="11" t="str">
        <f>CONCATENATE("          ", "5527", " - ", "FREIGHT-IN-SCHOOL SUPPLIES")</f>
        <v xml:space="preserve">          5527 - FREIGHT-IN-SCHOOL SUPPLIES</v>
      </c>
      <c r="C129" s="11"/>
      <c r="D129" s="2"/>
      <c r="E129" s="2"/>
      <c r="F129" s="19">
        <f t="shared" si="19"/>
        <v>0</v>
      </c>
      <c r="G129" s="2"/>
      <c r="H129" s="2"/>
      <c r="I129" s="2"/>
      <c r="J129" s="19">
        <f t="shared" si="20"/>
        <v>0</v>
      </c>
      <c r="K129" s="2"/>
      <c r="L129" s="2">
        <f t="shared" si="21"/>
        <v>0</v>
      </c>
      <c r="M129" s="2"/>
      <c r="N129" s="19">
        <f t="shared" si="22"/>
        <v>0</v>
      </c>
      <c r="O129" s="11"/>
      <c r="P129" s="2">
        <v>0</v>
      </c>
      <c r="Q129" s="2"/>
      <c r="R129" s="19">
        <f t="shared" si="23"/>
        <v>0</v>
      </c>
      <c r="S129" s="2"/>
      <c r="T129" s="2"/>
      <c r="U129" s="2"/>
      <c r="V129" s="19">
        <f t="shared" si="24"/>
        <v>0</v>
      </c>
      <c r="W129" s="2"/>
      <c r="X129" s="2">
        <f t="shared" si="25"/>
        <v>0</v>
      </c>
      <c r="Y129" s="2"/>
      <c r="Z129" s="19">
        <f t="shared" si="26"/>
        <v>0</v>
      </c>
    </row>
    <row r="130" spans="1:26" s="24" customFormat="1" hidden="1" outlineLevel="1" x14ac:dyDescent="0.25">
      <c r="A130" s="44"/>
      <c r="B130" s="11" t="str">
        <f>CONCATENATE("          ", "5528", " - ", "FREIGHT-IN-ART/TECH")</f>
        <v xml:space="preserve">          5528 - FREIGHT-IN-ART/TECH</v>
      </c>
      <c r="C130" s="11"/>
      <c r="D130" s="2">
        <v>0</v>
      </c>
      <c r="E130" s="2"/>
      <c r="F130" s="19">
        <f t="shared" si="19"/>
        <v>0</v>
      </c>
      <c r="G130" s="2"/>
      <c r="H130" s="2">
        <v>6.76</v>
      </c>
      <c r="I130" s="2"/>
      <c r="J130" s="19">
        <f t="shared" si="20"/>
        <v>7.5463567054977676E-6</v>
      </c>
      <c r="K130" s="2"/>
      <c r="L130" s="2">
        <f t="shared" si="21"/>
        <v>-6.76</v>
      </c>
      <c r="M130" s="2"/>
      <c r="N130" s="19">
        <f t="shared" si="22"/>
        <v>-1</v>
      </c>
      <c r="O130" s="11"/>
      <c r="P130" s="2">
        <v>0</v>
      </c>
      <c r="Q130" s="2"/>
      <c r="R130" s="19">
        <f t="shared" si="23"/>
        <v>0</v>
      </c>
      <c r="S130" s="2"/>
      <c r="T130" s="2">
        <v>44.81</v>
      </c>
      <c r="U130" s="2"/>
      <c r="V130" s="19">
        <f t="shared" si="24"/>
        <v>1.250384759798228E-5</v>
      </c>
      <c r="W130" s="2"/>
      <c r="X130" s="2">
        <f t="shared" si="25"/>
        <v>-44.81</v>
      </c>
      <c r="Y130" s="2"/>
      <c r="Z130" s="19">
        <f t="shared" si="26"/>
        <v>-1</v>
      </c>
    </row>
    <row r="131" spans="1:26" s="24" customFormat="1" hidden="1" outlineLevel="1" x14ac:dyDescent="0.25">
      <c r="A131" s="44"/>
      <c r="B131" s="11" t="str">
        <f>CONCATENATE("          ", "5540", " - ", "FREIGHT-IN-LOGO CLOTHING")</f>
        <v xml:space="preserve">          5540 - FREIGHT-IN-LOGO CLOTHING</v>
      </c>
      <c r="C131" s="11"/>
      <c r="D131" s="2"/>
      <c r="E131" s="2"/>
      <c r="F131" s="19">
        <f t="shared" si="19"/>
        <v>0</v>
      </c>
      <c r="G131" s="2"/>
      <c r="H131" s="2">
        <v>234.23</v>
      </c>
      <c r="I131" s="2"/>
      <c r="J131" s="19">
        <f t="shared" si="20"/>
        <v>2.6147679454567189E-4</v>
      </c>
      <c r="K131" s="2"/>
      <c r="L131" s="2">
        <f t="shared" si="21"/>
        <v>-234.23</v>
      </c>
      <c r="M131" s="2"/>
      <c r="N131" s="19">
        <f t="shared" si="22"/>
        <v>-1</v>
      </c>
      <c r="O131" s="11"/>
      <c r="P131" s="2">
        <v>0</v>
      </c>
      <c r="Q131" s="2"/>
      <c r="R131" s="19">
        <f t="shared" si="23"/>
        <v>0</v>
      </c>
      <c r="S131" s="2"/>
      <c r="T131" s="2">
        <v>2165.7600000000002</v>
      </c>
      <c r="U131" s="2"/>
      <c r="V131" s="19">
        <f t="shared" si="24"/>
        <v>6.0433682155336095E-4</v>
      </c>
      <c r="W131" s="2"/>
      <c r="X131" s="2">
        <f t="shared" si="25"/>
        <v>-2165.7600000000002</v>
      </c>
      <c r="Y131" s="2"/>
      <c r="Z131" s="19">
        <f t="shared" si="26"/>
        <v>-1</v>
      </c>
    </row>
    <row r="132" spans="1:26" s="24" customFormat="1" hidden="1" outlineLevel="1" x14ac:dyDescent="0.25">
      <c r="A132" s="44"/>
      <c r="B132" s="11" t="str">
        <f>CONCATENATE("          ", "5541", " - ", "FREIGHT-IN-LOGO GIFTS")</f>
        <v xml:space="preserve">          5541 - FREIGHT-IN-LOGO GIFTS</v>
      </c>
      <c r="C132" s="11"/>
      <c r="D132" s="2">
        <v>0</v>
      </c>
      <c r="E132" s="2"/>
      <c r="F132" s="19">
        <f t="shared" si="19"/>
        <v>0</v>
      </c>
      <c r="G132" s="2"/>
      <c r="H132" s="2">
        <v>154.41</v>
      </c>
      <c r="I132" s="2"/>
      <c r="J132" s="19">
        <f t="shared" si="20"/>
        <v>1.7237173652306364E-4</v>
      </c>
      <c r="K132" s="2"/>
      <c r="L132" s="2">
        <f t="shared" si="21"/>
        <v>-154.41</v>
      </c>
      <c r="M132" s="2"/>
      <c r="N132" s="19">
        <f t="shared" si="22"/>
        <v>-1</v>
      </c>
      <c r="O132" s="11"/>
      <c r="P132" s="2">
        <v>0</v>
      </c>
      <c r="Q132" s="2"/>
      <c r="R132" s="19">
        <f t="shared" si="23"/>
        <v>0</v>
      </c>
      <c r="S132" s="2"/>
      <c r="T132" s="2">
        <v>361.11</v>
      </c>
      <c r="U132" s="2"/>
      <c r="V132" s="19">
        <f t="shared" si="24"/>
        <v>1.0076465981047492E-4</v>
      </c>
      <c r="W132" s="2"/>
      <c r="X132" s="2">
        <f t="shared" si="25"/>
        <v>-361.11</v>
      </c>
      <c r="Y132" s="2"/>
      <c r="Z132" s="19">
        <f t="shared" si="26"/>
        <v>-1</v>
      </c>
    </row>
    <row r="133" spans="1:26" s="24" customFormat="1" hidden="1" outlineLevel="1" x14ac:dyDescent="0.25">
      <c r="A133" s="44"/>
      <c r="B133" s="11" t="str">
        <f>CONCATENATE("          ", "5542", " - ", "FREIGHT-IN-EVERYDAY GIFTS")</f>
        <v xml:space="preserve">          5542 - FREIGHT-IN-EVERYDAY GIFTS</v>
      </c>
      <c r="C133" s="11"/>
      <c r="D133" s="2"/>
      <c r="E133" s="2"/>
      <c r="F133" s="19">
        <f t="shared" si="19"/>
        <v>0</v>
      </c>
      <c r="G133" s="2"/>
      <c r="H133" s="2">
        <v>65.44</v>
      </c>
      <c r="I133" s="2"/>
      <c r="J133" s="19">
        <f t="shared" si="20"/>
        <v>7.3052305149078983E-5</v>
      </c>
      <c r="K133" s="2"/>
      <c r="L133" s="2">
        <f t="shared" si="21"/>
        <v>-65.44</v>
      </c>
      <c r="M133" s="2"/>
      <c r="N133" s="19">
        <f t="shared" si="22"/>
        <v>-1</v>
      </c>
      <c r="O133" s="11"/>
      <c r="P133" s="2">
        <v>0</v>
      </c>
      <c r="Q133" s="2"/>
      <c r="R133" s="19">
        <f t="shared" si="23"/>
        <v>0</v>
      </c>
      <c r="S133" s="2"/>
      <c r="T133" s="2">
        <v>71.38</v>
      </c>
      <c r="U133" s="2"/>
      <c r="V133" s="19">
        <f t="shared" si="24"/>
        <v>1.9917979056995648E-5</v>
      </c>
      <c r="W133" s="2"/>
      <c r="X133" s="2">
        <f t="shared" si="25"/>
        <v>-71.38</v>
      </c>
      <c r="Y133" s="2"/>
      <c r="Z133" s="19">
        <f t="shared" si="26"/>
        <v>-1</v>
      </c>
    </row>
    <row r="134" spans="1:26" s="24" customFormat="1" hidden="1" outlineLevel="1" x14ac:dyDescent="0.25">
      <c r="A134" s="44"/>
      <c r="B134" s="11" t="str">
        <f>CONCATENATE("          ", "5543", " - ", "FREIGHT-IN-CARDS")</f>
        <v xml:space="preserve">          5543 - FREIGHT-IN-CARDS</v>
      </c>
      <c r="C134" s="11"/>
      <c r="D134" s="2"/>
      <c r="E134" s="2"/>
      <c r="F134" s="19">
        <f t="shared" si="19"/>
        <v>0</v>
      </c>
      <c r="G134" s="2"/>
      <c r="H134" s="2">
        <v>81.77</v>
      </c>
      <c r="I134" s="2"/>
      <c r="J134" s="19">
        <f t="shared" si="20"/>
        <v>9.1281891687655688E-5</v>
      </c>
      <c r="K134" s="2"/>
      <c r="L134" s="2">
        <f t="shared" si="21"/>
        <v>-81.77</v>
      </c>
      <c r="M134" s="2"/>
      <c r="N134" s="19">
        <f t="shared" si="22"/>
        <v>-1</v>
      </c>
      <c r="O134" s="11"/>
      <c r="P134" s="2"/>
      <c r="Q134" s="2"/>
      <c r="R134" s="19">
        <f t="shared" si="23"/>
        <v>0</v>
      </c>
      <c r="S134" s="2"/>
      <c r="T134" s="2">
        <v>81.77</v>
      </c>
      <c r="U134" s="2"/>
      <c r="V134" s="19">
        <f t="shared" si="24"/>
        <v>2.2817219774314011E-5</v>
      </c>
      <c r="W134" s="2"/>
      <c r="X134" s="2">
        <f t="shared" si="25"/>
        <v>-81.77</v>
      </c>
      <c r="Y134" s="2"/>
      <c r="Z134" s="19">
        <f t="shared" si="26"/>
        <v>-1</v>
      </c>
    </row>
    <row r="135" spans="1:26" s="24" customFormat="1" hidden="1" outlineLevel="1" x14ac:dyDescent="0.25">
      <c r="A135" s="44"/>
      <c r="B135" s="11" t="str">
        <f>CONCATENATE("          ", "5544", " - ", "FREIGHT-IN-ACCESSORIES")</f>
        <v xml:space="preserve">          5544 - FREIGHT-IN-ACCESSORIES</v>
      </c>
      <c r="C135" s="11"/>
      <c r="D135" s="2"/>
      <c r="E135" s="2"/>
      <c r="F135" s="19">
        <f t="shared" si="19"/>
        <v>0</v>
      </c>
      <c r="G135" s="2"/>
      <c r="H135" s="2"/>
      <c r="I135" s="2"/>
      <c r="J135" s="19">
        <f t="shared" si="20"/>
        <v>0</v>
      </c>
      <c r="K135" s="2"/>
      <c r="L135" s="2">
        <f t="shared" si="21"/>
        <v>0</v>
      </c>
      <c r="M135" s="2"/>
      <c r="N135" s="19">
        <f t="shared" si="22"/>
        <v>0</v>
      </c>
      <c r="O135" s="11"/>
      <c r="P135" s="2">
        <v>0</v>
      </c>
      <c r="Q135" s="2"/>
      <c r="R135" s="19">
        <f t="shared" si="23"/>
        <v>0</v>
      </c>
      <c r="S135" s="2"/>
      <c r="T135" s="2"/>
      <c r="U135" s="2"/>
      <c r="V135" s="19">
        <f t="shared" si="24"/>
        <v>0</v>
      </c>
      <c r="W135" s="2"/>
      <c r="X135" s="2">
        <f t="shared" si="25"/>
        <v>0</v>
      </c>
      <c r="Y135" s="2"/>
      <c r="Z135" s="19">
        <f t="shared" si="26"/>
        <v>0</v>
      </c>
    </row>
    <row r="136" spans="1:26" s="24" customFormat="1" hidden="1" outlineLevel="1" x14ac:dyDescent="0.25">
      <c r="A136" s="44"/>
      <c r="B136" s="11" t="str">
        <f>CONCATENATE("          ", "5545", " - ", "FREIGHT-IN-SPECIAL ORDERS")</f>
        <v xml:space="preserve">          5545 - FREIGHT-IN-SPECIAL ORDERS</v>
      </c>
      <c r="C136" s="11"/>
      <c r="D136" s="2"/>
      <c r="E136" s="2"/>
      <c r="F136" s="19">
        <f t="shared" si="19"/>
        <v>0</v>
      </c>
      <c r="G136" s="2"/>
      <c r="H136" s="2">
        <v>214.61</v>
      </c>
      <c r="I136" s="2"/>
      <c r="J136" s="19">
        <f t="shared" si="20"/>
        <v>2.3957449890042544E-4</v>
      </c>
      <c r="K136" s="2"/>
      <c r="L136" s="2">
        <f t="shared" si="21"/>
        <v>-214.61</v>
      </c>
      <c r="M136" s="2"/>
      <c r="N136" s="19">
        <f t="shared" si="22"/>
        <v>-1</v>
      </c>
      <c r="O136" s="11"/>
      <c r="P136" s="2">
        <v>0</v>
      </c>
      <c r="Q136" s="2"/>
      <c r="R136" s="19">
        <f t="shared" si="23"/>
        <v>0</v>
      </c>
      <c r="S136" s="2"/>
      <c r="T136" s="2">
        <v>660.61</v>
      </c>
      <c r="U136" s="2"/>
      <c r="V136" s="19">
        <f t="shared" si="24"/>
        <v>1.8433757557918039E-4</v>
      </c>
      <c r="W136" s="2"/>
      <c r="X136" s="2">
        <f t="shared" si="25"/>
        <v>-660.61</v>
      </c>
      <c r="Y136" s="2"/>
      <c r="Z136" s="19">
        <f t="shared" si="26"/>
        <v>-1</v>
      </c>
    </row>
    <row r="137" spans="1:26" s="24" customFormat="1" hidden="1" outlineLevel="1" x14ac:dyDescent="0.25">
      <c r="A137" s="44"/>
      <c r="B137" s="11" t="str">
        <f>CONCATENATE("          ", "5582", " - ", "FREIGHT-IN-COMPUTER HARDWARE")</f>
        <v xml:space="preserve">          5582 - FREIGHT-IN-COMPUTER HARDWARE</v>
      </c>
      <c r="C137" s="11"/>
      <c r="D137" s="2"/>
      <c r="E137" s="2"/>
      <c r="F137" s="19">
        <f t="shared" si="19"/>
        <v>0</v>
      </c>
      <c r="G137" s="2"/>
      <c r="H137" s="2">
        <v>24</v>
      </c>
      <c r="I137" s="2"/>
      <c r="J137" s="19">
        <f t="shared" si="20"/>
        <v>2.6791798954429946E-5</v>
      </c>
      <c r="K137" s="2"/>
      <c r="L137" s="2">
        <f t="shared" si="21"/>
        <v>-24</v>
      </c>
      <c r="M137" s="2"/>
      <c r="N137" s="19">
        <f t="shared" si="22"/>
        <v>-1</v>
      </c>
      <c r="O137" s="11"/>
      <c r="P137" s="2"/>
      <c r="Q137" s="2"/>
      <c r="R137" s="19">
        <f t="shared" si="23"/>
        <v>0</v>
      </c>
      <c r="S137" s="2"/>
      <c r="T137" s="2">
        <v>24</v>
      </c>
      <c r="U137" s="2"/>
      <c r="V137" s="19">
        <f t="shared" si="24"/>
        <v>6.6969949196959319E-6</v>
      </c>
      <c r="W137" s="2"/>
      <c r="X137" s="2">
        <f t="shared" si="25"/>
        <v>-24</v>
      </c>
      <c r="Y137" s="2"/>
      <c r="Z137" s="19">
        <f t="shared" si="26"/>
        <v>-1</v>
      </c>
    </row>
    <row r="138" spans="1:26" s="24" customFormat="1" hidden="1" outlineLevel="1" x14ac:dyDescent="0.25">
      <c r="A138" s="44"/>
      <c r="B138" s="11" t="str">
        <f>CONCATENATE("          ", "5583", " - ", "FREIGHT-IN-COMPUTER EQUIPMENT")</f>
        <v xml:space="preserve">          5583 - FREIGHT-IN-COMPUTER EQUIPMENT</v>
      </c>
      <c r="C138" s="11"/>
      <c r="D138" s="2"/>
      <c r="E138" s="2"/>
      <c r="F138" s="19">
        <f t="shared" si="19"/>
        <v>0</v>
      </c>
      <c r="G138" s="2"/>
      <c r="H138" s="2">
        <v>156</v>
      </c>
      <c r="I138" s="2"/>
      <c r="J138" s="19">
        <f t="shared" si="20"/>
        <v>1.7414669320379463E-4</v>
      </c>
      <c r="K138" s="2"/>
      <c r="L138" s="2">
        <f t="shared" si="21"/>
        <v>-156</v>
      </c>
      <c r="M138" s="2"/>
      <c r="N138" s="19">
        <f t="shared" si="22"/>
        <v>-1</v>
      </c>
      <c r="O138" s="11"/>
      <c r="P138" s="2">
        <v>0</v>
      </c>
      <c r="Q138" s="2"/>
      <c r="R138" s="19">
        <f t="shared" si="23"/>
        <v>0</v>
      </c>
      <c r="S138" s="2"/>
      <c r="T138" s="2">
        <v>173.39</v>
      </c>
      <c r="U138" s="2"/>
      <c r="V138" s="19">
        <f t="shared" si="24"/>
        <v>4.8382997880253226E-5</v>
      </c>
      <c r="W138" s="2"/>
      <c r="X138" s="2">
        <f t="shared" si="25"/>
        <v>-173.39</v>
      </c>
      <c r="Y138" s="2"/>
      <c r="Z138" s="19">
        <f t="shared" si="26"/>
        <v>-1</v>
      </c>
    </row>
    <row r="139" spans="1:26" s="24" customFormat="1" hidden="1" outlineLevel="1" x14ac:dyDescent="0.25">
      <c r="A139" s="44"/>
      <c r="B139" s="11" t="str">
        <f>CONCATENATE("          ", "5586", " - ", "FREIGHT-IN-COMPUTER SUPPLIES")</f>
        <v xml:space="preserve">          5586 - FREIGHT-IN-COMPUTER SUPPLIES</v>
      </c>
      <c r="C139" s="11"/>
      <c r="D139" s="2"/>
      <c r="E139" s="2"/>
      <c r="F139" s="19">
        <f t="shared" si="19"/>
        <v>0</v>
      </c>
      <c r="G139" s="2"/>
      <c r="H139" s="2"/>
      <c r="I139" s="2"/>
      <c r="J139" s="19">
        <f t="shared" si="20"/>
        <v>0</v>
      </c>
      <c r="K139" s="2"/>
      <c r="L139" s="2">
        <f t="shared" si="21"/>
        <v>0</v>
      </c>
      <c r="M139" s="2"/>
      <c r="N139" s="19">
        <f t="shared" si="22"/>
        <v>0</v>
      </c>
      <c r="O139" s="11"/>
      <c r="P139" s="2"/>
      <c r="Q139" s="2"/>
      <c r="R139" s="19">
        <f t="shared" si="23"/>
        <v>0</v>
      </c>
      <c r="S139" s="2"/>
      <c r="T139" s="2">
        <v>24.12</v>
      </c>
      <c r="U139" s="2"/>
      <c r="V139" s="19">
        <f t="shared" si="24"/>
        <v>6.7304798942944112E-6</v>
      </c>
      <c r="W139" s="2"/>
      <c r="X139" s="2">
        <f t="shared" si="25"/>
        <v>-24.12</v>
      </c>
      <c r="Y139" s="2"/>
      <c r="Z139" s="19">
        <f t="shared" si="26"/>
        <v>-1</v>
      </c>
    </row>
    <row r="140" spans="1:26" s="24" customFormat="1" hidden="1" outlineLevel="1" x14ac:dyDescent="0.25">
      <c r="A140" s="44"/>
      <c r="B140" s="11" t="str">
        <f>CONCATENATE("          ", "5592", " - ", "FREIGHT-IN-GRAD MERCH")</f>
        <v xml:space="preserve">          5592 - FREIGHT-IN-GRAD MERCH</v>
      </c>
      <c r="C140" s="11"/>
      <c r="D140" s="2"/>
      <c r="E140" s="2"/>
      <c r="F140" s="19">
        <f t="shared" si="19"/>
        <v>0</v>
      </c>
      <c r="G140" s="2"/>
      <c r="H140" s="2"/>
      <c r="I140" s="2"/>
      <c r="J140" s="19">
        <f t="shared" si="20"/>
        <v>0</v>
      </c>
      <c r="K140" s="2"/>
      <c r="L140" s="2">
        <f t="shared" si="21"/>
        <v>0</v>
      </c>
      <c r="M140" s="2"/>
      <c r="N140" s="19">
        <f t="shared" si="22"/>
        <v>0</v>
      </c>
      <c r="O140" s="11"/>
      <c r="P140" s="2"/>
      <c r="Q140" s="2"/>
      <c r="R140" s="19">
        <f t="shared" si="23"/>
        <v>0</v>
      </c>
      <c r="S140" s="2"/>
      <c r="T140" s="2">
        <v>0</v>
      </c>
      <c r="U140" s="2"/>
      <c r="V140" s="19">
        <f t="shared" si="24"/>
        <v>0</v>
      </c>
      <c r="W140" s="2"/>
      <c r="X140" s="2">
        <f t="shared" si="25"/>
        <v>0</v>
      </c>
      <c r="Y140" s="2"/>
      <c r="Z140" s="19">
        <f t="shared" si="26"/>
        <v>0</v>
      </c>
    </row>
    <row r="141" spans="1:26" x14ac:dyDescent="0.25">
      <c r="A141" s="9"/>
      <c r="B141" s="10"/>
      <c r="C141" s="10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O141" s="10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x14ac:dyDescent="0.25">
      <c r="A142" s="10"/>
      <c r="B142" s="25" t="s">
        <v>107</v>
      </c>
      <c r="C142" s="25"/>
      <c r="D142" s="21">
        <f>D12-D96</f>
        <v>1431011.1400000001</v>
      </c>
      <c r="E142" s="13"/>
      <c r="F142" s="22">
        <f>IF(D$12=0,0,D142/D$12)</f>
        <v>0.60904381053384438</v>
      </c>
      <c r="G142" s="13"/>
      <c r="H142" s="21">
        <f>H12-H96</f>
        <v>357053.18000000028</v>
      </c>
      <c r="I142" s="13"/>
      <c r="J142" s="22">
        <f>IF(H$12=0,0,H142/H$12)</f>
        <v>0.39858737560832891</v>
      </c>
      <c r="K142" s="16"/>
      <c r="L142" s="21">
        <f>+D142-H142</f>
        <v>1073957.96</v>
      </c>
      <c r="M142" s="16"/>
      <c r="N142" s="22">
        <f>IF(H142=0,0,L142/H142)</f>
        <v>3.0078375439759397</v>
      </c>
      <c r="O142" s="26"/>
      <c r="P142" s="21">
        <f>P12-P96</f>
        <v>2714990.22</v>
      </c>
      <c r="Q142" s="13"/>
      <c r="R142" s="22">
        <f>IF(P$12=0,0,P142/P$12)</f>
        <v>0.50820764480027925</v>
      </c>
      <c r="S142" s="13"/>
      <c r="T142" s="21">
        <f>T12-T96</f>
        <v>1099976.7299999991</v>
      </c>
      <c r="U142" s="13"/>
      <c r="V142" s="22">
        <f>IF(T$12=0,0,T142/T$12)</f>
        <v>0.30693910719140571</v>
      </c>
      <c r="W142" s="16"/>
      <c r="X142" s="21">
        <f>+P142-T142</f>
        <v>1615013.4900000012</v>
      </c>
      <c r="Y142" s="16"/>
      <c r="Z142" s="22">
        <f>IF(T142=0,0,X142/T142)</f>
        <v>1.4682251414536764</v>
      </c>
    </row>
    <row r="143" spans="1:26" x14ac:dyDescent="0.25">
      <c r="A143" s="9"/>
      <c r="B143" s="10"/>
      <c r="C143" s="9"/>
      <c r="D143" s="1"/>
      <c r="E143" s="1"/>
      <c r="F143" s="5"/>
      <c r="G143" s="1"/>
      <c r="H143" s="1"/>
      <c r="I143" s="1"/>
      <c r="J143" s="5"/>
      <c r="K143" s="1"/>
      <c r="L143" s="1"/>
      <c r="M143" s="1"/>
      <c r="N143" s="5"/>
      <c r="O143" s="37"/>
      <c r="P143" s="1"/>
      <c r="Q143" s="1"/>
      <c r="R143" s="5"/>
      <c r="S143" s="1"/>
      <c r="T143" s="1"/>
      <c r="U143" s="1"/>
      <c r="V143" s="5"/>
      <c r="W143" s="1"/>
      <c r="X143" s="1"/>
      <c r="Y143" s="1"/>
      <c r="Z143" s="5"/>
    </row>
    <row r="144" spans="1:26" s="23" customFormat="1" x14ac:dyDescent="0.25">
      <c r="A144" s="10"/>
      <c r="B144" s="26" t="s">
        <v>294</v>
      </c>
      <c r="C144" s="10"/>
      <c r="D144" s="20">
        <f>SUM(OSRRefD22x_0)</f>
        <v>1014621.9200000003</v>
      </c>
      <c r="E144" s="20"/>
      <c r="F144" s="30">
        <f t="shared" ref="F144:F155" si="27">IF(D$12=0,0,D144/D$12)</f>
        <v>0.43182696705489343</v>
      </c>
      <c r="G144" s="20"/>
      <c r="H144" s="20">
        <f>SUM(OSRRefH22x_0)</f>
        <v>689724.47</v>
      </c>
      <c r="I144" s="20"/>
      <c r="J144" s="30">
        <f t="shared" ref="J144:J155" si="28">IF(H$12=0,0,H144/H$12)</f>
        <v>0.76995663892461441</v>
      </c>
      <c r="K144" s="4"/>
      <c r="L144" s="20">
        <f t="shared" ref="L144:L155" si="29">+D144-H144</f>
        <v>324897.4500000003</v>
      </c>
      <c r="M144" s="4"/>
      <c r="N144" s="30">
        <f t="shared" ref="N144:N155" si="30">IF(H144=0,0,L144/H144)</f>
        <v>0.47105397029048474</v>
      </c>
      <c r="O144" s="10"/>
      <c r="P144" s="20">
        <f>SUM(OSRRefP22x_0)</f>
        <v>2814561.6699999995</v>
      </c>
      <c r="Q144" s="20"/>
      <c r="R144" s="30">
        <f t="shared" ref="R144:R155" si="31">IF(P$12=0,0,P144/P$12)</f>
        <v>0.52684600737008924</v>
      </c>
      <c r="S144" s="20"/>
      <c r="T144" s="20">
        <f>SUM(OSRRefT22x_0)</f>
        <v>1998642.2599999993</v>
      </c>
      <c r="U144" s="20"/>
      <c r="V144" s="30">
        <f t="shared" ref="V144:V155" si="32">IF(T$12=0,0,T144/T$12)</f>
        <v>0.55770404422956632</v>
      </c>
      <c r="W144" s="4"/>
      <c r="X144" s="20">
        <f t="shared" ref="X144:X155" si="33">+P144-T144</f>
        <v>815919.41000000015</v>
      </c>
      <c r="Y144" s="4"/>
      <c r="Z144" s="30">
        <f t="shared" ref="Z144:Z155" si="34">IF(T144=0,0,X144/T144)</f>
        <v>0.40823684474679345</v>
      </c>
    </row>
    <row r="145" spans="1:26" s="27" customFormat="1" outlineLevel="1" collapsed="1" x14ac:dyDescent="0.25">
      <c r="A145" s="29"/>
      <c r="B145" s="14" t="str">
        <f>CONCATENATE("     ","*Benefits                                         ")</f>
        <v xml:space="preserve">     *Benefits                                         </v>
      </c>
      <c r="C145" s="14"/>
      <c r="D145" s="1">
        <f>SUM(OSRRefD22_0x_0)</f>
        <v>167059.87</v>
      </c>
      <c r="E145" s="1"/>
      <c r="F145" s="5">
        <f t="shared" si="27"/>
        <v>7.1101319177772904E-2</v>
      </c>
      <c r="G145" s="1"/>
      <c r="H145" s="1">
        <f>SUM(OSRRefH22_0x_0)</f>
        <v>157498.78</v>
      </c>
      <c r="I145" s="1"/>
      <c r="J145" s="5">
        <f t="shared" si="28"/>
        <v>0.17581981872199967</v>
      </c>
      <c r="K145" s="1"/>
      <c r="L145" s="1">
        <f t="shared" si="29"/>
        <v>9561.0899999999965</v>
      </c>
      <c r="M145" s="1"/>
      <c r="N145" s="5">
        <f t="shared" si="30"/>
        <v>6.0705803562414874E-2</v>
      </c>
      <c r="O145" s="14"/>
      <c r="P145" s="1">
        <f>SUM(OSRRefP22_0x_0)</f>
        <v>474711.49999999994</v>
      </c>
      <c r="Q145" s="1"/>
      <c r="R145" s="5">
        <f t="shared" si="31"/>
        <v>8.8859256875926315E-2</v>
      </c>
      <c r="S145" s="1"/>
      <c r="T145" s="1">
        <f>SUM(OSRRefT22_0x_0)</f>
        <v>463577.49999999994</v>
      </c>
      <c r="U145" s="1"/>
      <c r="V145" s="5">
        <f t="shared" si="32"/>
        <v>0.12935734009938918</v>
      </c>
      <c r="W145" s="1"/>
      <c r="X145" s="1">
        <f t="shared" si="33"/>
        <v>11134</v>
      </c>
      <c r="Y145" s="1"/>
      <c r="Z145" s="5">
        <f t="shared" si="34"/>
        <v>2.40175590920612E-2</v>
      </c>
    </row>
    <row r="146" spans="1:26" s="24" customFormat="1" hidden="1" outlineLevel="2" x14ac:dyDescent="0.25">
      <c r="A146" s="28"/>
      <c r="B146" s="11" t="str">
        <f>CONCATENATE("          ", "6111", " - ", "F.I.C.A.")</f>
        <v xml:space="preserve">          6111 - F.I.C.A.</v>
      </c>
      <c r="C146" s="11"/>
      <c r="D146" s="7">
        <v>27493</v>
      </c>
      <c r="E146" s="2"/>
      <c r="F146" s="6">
        <f t="shared" si="27"/>
        <v>1.1701125878731441E-2</v>
      </c>
      <c r="G146" s="2"/>
      <c r="H146" s="7">
        <v>24213.34</v>
      </c>
      <c r="I146" s="2"/>
      <c r="J146" s="6">
        <f t="shared" si="28"/>
        <v>2.7029955720635698E-2</v>
      </c>
      <c r="K146" s="2"/>
      <c r="L146" s="7">
        <f t="shared" si="29"/>
        <v>3279.66</v>
      </c>
      <c r="M146" s="2"/>
      <c r="N146" s="6">
        <f t="shared" si="30"/>
        <v>0.13544847592277645</v>
      </c>
      <c r="O146" s="11"/>
      <c r="P146" s="7">
        <v>76755.509999999995</v>
      </c>
      <c r="Q146" s="2"/>
      <c r="R146" s="6">
        <f t="shared" si="31"/>
        <v>1.4367542348842889E-2</v>
      </c>
      <c r="S146" s="2"/>
      <c r="T146" s="7">
        <v>65678.210000000006</v>
      </c>
      <c r="U146" s="2"/>
      <c r="V146" s="6">
        <f t="shared" si="32"/>
        <v>1.832694327936344E-2</v>
      </c>
      <c r="W146" s="2"/>
      <c r="X146" s="7">
        <f t="shared" si="33"/>
        <v>11077.299999999988</v>
      </c>
      <c r="Y146" s="2"/>
      <c r="Z146" s="6">
        <f t="shared" si="34"/>
        <v>0.16866019947863967</v>
      </c>
    </row>
    <row r="147" spans="1:26" s="24" customFormat="1" hidden="1" outlineLevel="2" x14ac:dyDescent="0.25">
      <c r="A147" s="28"/>
      <c r="B147" s="11" t="str">
        <f>CONCATENATE("          ", "6112", " - ", "COMPENSATION INSURANCE")</f>
        <v xml:space="preserve">          6112 - COMPENSATION INSURANCE</v>
      </c>
      <c r="C147" s="11"/>
      <c r="D147" s="7">
        <v>12742.74</v>
      </c>
      <c r="E147" s="2"/>
      <c r="F147" s="6">
        <f t="shared" si="27"/>
        <v>5.423358846977277E-3</v>
      </c>
      <c r="G147" s="2"/>
      <c r="H147" s="7">
        <v>10584.2</v>
      </c>
      <c r="I147" s="2"/>
      <c r="J147" s="6">
        <f t="shared" si="28"/>
        <v>1.1815406603894893E-2</v>
      </c>
      <c r="K147" s="2"/>
      <c r="L147" s="7">
        <f t="shared" si="29"/>
        <v>2158.5399999999991</v>
      </c>
      <c r="M147" s="2"/>
      <c r="N147" s="6">
        <f t="shared" si="30"/>
        <v>0.2039398348481698</v>
      </c>
      <c r="O147" s="11"/>
      <c r="P147" s="7">
        <v>28161.24</v>
      </c>
      <c r="Q147" s="2"/>
      <c r="R147" s="6">
        <f t="shared" si="31"/>
        <v>5.2713845337739058E-3</v>
      </c>
      <c r="S147" s="2"/>
      <c r="T147" s="7">
        <v>23984.97</v>
      </c>
      <c r="U147" s="2"/>
      <c r="V147" s="6">
        <f t="shared" si="32"/>
        <v>6.6928009266274723E-3</v>
      </c>
      <c r="W147" s="2"/>
      <c r="X147" s="7">
        <f t="shared" si="33"/>
        <v>4176.2700000000004</v>
      </c>
      <c r="Y147" s="2"/>
      <c r="Z147" s="6">
        <f t="shared" si="34"/>
        <v>0.17412029283338692</v>
      </c>
    </row>
    <row r="148" spans="1:26" s="24" customFormat="1" hidden="1" outlineLevel="2" x14ac:dyDescent="0.25">
      <c r="A148" s="28"/>
      <c r="B148" s="11" t="str">
        <f>CONCATENATE("          ", "6113", " - ", "GROUP INSURANCE")</f>
        <v xml:space="preserve">          6113 - GROUP INSURANCE</v>
      </c>
      <c r="C148" s="11"/>
      <c r="D148" s="7">
        <v>76355.58</v>
      </c>
      <c r="E148" s="2"/>
      <c r="F148" s="6">
        <f t="shared" si="27"/>
        <v>3.2497226680374962E-2</v>
      </c>
      <c r="G148" s="2"/>
      <c r="H148" s="7">
        <v>74825.47</v>
      </c>
      <c r="I148" s="2"/>
      <c r="J148" s="6">
        <f t="shared" si="28"/>
        <v>8.3529539537947048E-2</v>
      </c>
      <c r="K148" s="2"/>
      <c r="L148" s="7">
        <f t="shared" si="29"/>
        <v>1530.1100000000006</v>
      </c>
      <c r="M148" s="2"/>
      <c r="N148" s="6">
        <f t="shared" si="30"/>
        <v>2.0449052976212519E-2</v>
      </c>
      <c r="O148" s="11"/>
      <c r="P148" s="7">
        <v>222675.98</v>
      </c>
      <c r="Q148" s="2"/>
      <c r="R148" s="6">
        <f t="shared" si="31"/>
        <v>4.1681783792721756E-2</v>
      </c>
      <c r="S148" s="2"/>
      <c r="T148" s="7">
        <v>226050.11</v>
      </c>
      <c r="U148" s="2"/>
      <c r="V148" s="6">
        <f t="shared" si="32"/>
        <v>6.3077351594446107E-2</v>
      </c>
      <c r="W148" s="2"/>
      <c r="X148" s="7">
        <f t="shared" si="33"/>
        <v>-3374.1299999999756</v>
      </c>
      <c r="Y148" s="2"/>
      <c r="Z148" s="6">
        <f t="shared" si="34"/>
        <v>-1.4926469179776006E-2</v>
      </c>
    </row>
    <row r="149" spans="1:26" s="24" customFormat="1" hidden="1" outlineLevel="2" x14ac:dyDescent="0.25">
      <c r="A149" s="28"/>
      <c r="B149" s="11" t="str">
        <f>CONCATENATE("          ", "6114", " - ", "STATE UNEMPLOYMENT INSURANCE")</f>
        <v xml:space="preserve">          6114 - STATE UNEMPLOYMENT INSURANCE</v>
      </c>
      <c r="C149" s="11"/>
      <c r="D149" s="7">
        <v>1261.27</v>
      </c>
      <c r="E149" s="2"/>
      <c r="F149" s="6">
        <f t="shared" si="27"/>
        <v>5.3680133259621007E-4</v>
      </c>
      <c r="G149" s="2"/>
      <c r="H149" s="7">
        <v>982.97</v>
      </c>
      <c r="I149" s="2"/>
      <c r="J149" s="6">
        <f t="shared" si="28"/>
        <v>1.0973139424265001E-3</v>
      </c>
      <c r="K149" s="2"/>
      <c r="L149" s="7">
        <f t="shared" si="29"/>
        <v>278.29999999999995</v>
      </c>
      <c r="M149" s="2"/>
      <c r="N149" s="6">
        <f t="shared" si="30"/>
        <v>0.28312156016968976</v>
      </c>
      <c r="O149" s="11"/>
      <c r="P149" s="7">
        <v>3000.36</v>
      </c>
      <c r="Q149" s="2"/>
      <c r="R149" s="6">
        <f t="shared" si="31"/>
        <v>5.6162481835863318E-4</v>
      </c>
      <c r="S149" s="2"/>
      <c r="T149" s="7">
        <v>2484.44</v>
      </c>
      <c r="U149" s="2"/>
      <c r="V149" s="6">
        <f t="shared" si="32"/>
        <v>6.9326175242872341E-4</v>
      </c>
      <c r="W149" s="2"/>
      <c r="X149" s="7">
        <f t="shared" si="33"/>
        <v>515.92000000000007</v>
      </c>
      <c r="Y149" s="2"/>
      <c r="Z149" s="6">
        <f t="shared" si="34"/>
        <v>0.2076604788201768</v>
      </c>
    </row>
    <row r="150" spans="1:26" s="24" customFormat="1" hidden="1" outlineLevel="2" x14ac:dyDescent="0.25">
      <c r="A150" s="28"/>
      <c r="B150" s="11" t="str">
        <f>CONCATENATE("          ", "6115", " - ", "P.E.R.S.")</f>
        <v xml:space="preserve">          6115 - P.E.R.S.</v>
      </c>
      <c r="C150" s="11"/>
      <c r="D150" s="7">
        <v>14264.99</v>
      </c>
      <c r="E150" s="2"/>
      <c r="F150" s="6">
        <f t="shared" si="27"/>
        <v>6.0712342650436554E-3</v>
      </c>
      <c r="G150" s="2"/>
      <c r="H150" s="7">
        <v>14016.4</v>
      </c>
      <c r="I150" s="2"/>
      <c r="J150" s="6">
        <f t="shared" si="28"/>
        <v>1.564685711936966E-2</v>
      </c>
      <c r="K150" s="2"/>
      <c r="L150" s="7">
        <f t="shared" si="29"/>
        <v>248.59000000000015</v>
      </c>
      <c r="M150" s="2"/>
      <c r="N150" s="6">
        <f t="shared" si="30"/>
        <v>1.7735652521332166E-2</v>
      </c>
      <c r="O150" s="11"/>
      <c r="P150" s="7">
        <v>41678.870000000003</v>
      </c>
      <c r="Q150" s="2"/>
      <c r="R150" s="6">
        <f t="shared" si="31"/>
        <v>7.8016930612136836E-3</v>
      </c>
      <c r="S150" s="2"/>
      <c r="T150" s="7">
        <v>49509.35</v>
      </c>
      <c r="U150" s="2"/>
      <c r="V150" s="6">
        <f t="shared" si="32"/>
        <v>1.381516105947699E-2</v>
      </c>
      <c r="W150" s="2"/>
      <c r="X150" s="7">
        <f t="shared" si="33"/>
        <v>-7830.4799999999959</v>
      </c>
      <c r="Y150" s="2"/>
      <c r="Z150" s="6">
        <f t="shared" si="34"/>
        <v>-0.15816164017503756</v>
      </c>
    </row>
    <row r="151" spans="1:26" s="24" customFormat="1" hidden="1" outlineLevel="2" x14ac:dyDescent="0.25">
      <c r="A151" s="28"/>
      <c r="B151" s="11" t="str">
        <f>CONCATENATE("          ", "6116", " - ", "EDUCATIONAL BENEFITS")</f>
        <v xml:space="preserve">          6116 - EDUCATIONAL BENEFITS</v>
      </c>
      <c r="C151" s="11"/>
      <c r="D151" s="7"/>
      <c r="E151" s="2"/>
      <c r="F151" s="6">
        <f t="shared" si="27"/>
        <v>0</v>
      </c>
      <c r="G151" s="2"/>
      <c r="H151" s="7"/>
      <c r="I151" s="2"/>
      <c r="J151" s="6">
        <f t="shared" si="28"/>
        <v>0</v>
      </c>
      <c r="K151" s="2"/>
      <c r="L151" s="7">
        <f t="shared" si="29"/>
        <v>0</v>
      </c>
      <c r="M151" s="2"/>
      <c r="N151" s="6">
        <f t="shared" si="30"/>
        <v>0</v>
      </c>
      <c r="O151" s="11"/>
      <c r="P151" s="7"/>
      <c r="Q151" s="2"/>
      <c r="R151" s="6">
        <f t="shared" si="31"/>
        <v>0</v>
      </c>
      <c r="S151" s="2"/>
      <c r="T151" s="7">
        <v>0</v>
      </c>
      <c r="U151" s="2"/>
      <c r="V151" s="6">
        <f t="shared" si="32"/>
        <v>0</v>
      </c>
      <c r="W151" s="2"/>
      <c r="X151" s="7">
        <f t="shared" si="33"/>
        <v>0</v>
      </c>
      <c r="Y151" s="2"/>
      <c r="Z151" s="6">
        <f t="shared" si="34"/>
        <v>0</v>
      </c>
    </row>
    <row r="152" spans="1:26" s="24" customFormat="1" hidden="1" outlineLevel="2" x14ac:dyDescent="0.25">
      <c r="A152" s="28"/>
      <c r="B152" s="11" t="str">
        <f>CONCATENATE("          ", "6117", " - ", "RETIREMENT STAFF HOURLY")</f>
        <v xml:space="preserve">          6117 - RETIREMENT STAFF HOURLY</v>
      </c>
      <c r="C152" s="11"/>
      <c r="D152" s="7">
        <v>1630.8</v>
      </c>
      <c r="E152" s="2"/>
      <c r="F152" s="6">
        <f t="shared" si="27"/>
        <v>6.9407471294639488E-4</v>
      </c>
      <c r="G152" s="2"/>
      <c r="H152" s="7">
        <v>2046.41</v>
      </c>
      <c r="I152" s="2"/>
      <c r="J152" s="6">
        <f t="shared" si="28"/>
        <v>2.2844585540972911E-3</v>
      </c>
      <c r="K152" s="2"/>
      <c r="L152" s="7">
        <f t="shared" si="29"/>
        <v>-415.61000000000013</v>
      </c>
      <c r="M152" s="2"/>
      <c r="N152" s="6">
        <f t="shared" si="30"/>
        <v>-0.20309224446714008</v>
      </c>
      <c r="O152" s="11"/>
      <c r="P152" s="7">
        <v>7054.8</v>
      </c>
      <c r="Q152" s="2"/>
      <c r="R152" s="6">
        <f t="shared" si="31"/>
        <v>1.3205584558374614E-3</v>
      </c>
      <c r="S152" s="2"/>
      <c r="T152" s="7">
        <v>6616.3</v>
      </c>
      <c r="U152" s="2"/>
      <c r="V152" s="6">
        <f t="shared" si="32"/>
        <v>1.8462219786326748E-3</v>
      </c>
      <c r="W152" s="2"/>
      <c r="X152" s="7">
        <f t="shared" si="33"/>
        <v>438.5</v>
      </c>
      <c r="Y152" s="2"/>
      <c r="Z152" s="6">
        <f t="shared" si="34"/>
        <v>6.6275713011804183E-2</v>
      </c>
    </row>
    <row r="153" spans="1:26" s="24" customFormat="1" hidden="1" outlineLevel="2" x14ac:dyDescent="0.25">
      <c r="A153" s="28"/>
      <c r="B153" s="11" t="str">
        <f>CONCATENATE("          ", "6118", " - ", "VACATION")</f>
        <v xml:space="preserve">          6118 - VACATION</v>
      </c>
      <c r="C153" s="11"/>
      <c r="D153" s="7">
        <v>15332.37</v>
      </c>
      <c r="E153" s="2"/>
      <c r="F153" s="6">
        <f t="shared" si="27"/>
        <v>6.525515272588862E-3</v>
      </c>
      <c r="G153" s="2"/>
      <c r="H153" s="7">
        <v>15107.47</v>
      </c>
      <c r="I153" s="2"/>
      <c r="J153" s="6">
        <f t="shared" si="28"/>
        <v>1.686484578958674E-2</v>
      </c>
      <c r="K153" s="2"/>
      <c r="L153" s="7">
        <f t="shared" si="29"/>
        <v>224.90000000000146</v>
      </c>
      <c r="M153" s="2"/>
      <c r="N153" s="6">
        <f t="shared" si="30"/>
        <v>1.4886675267268541E-2</v>
      </c>
      <c r="O153" s="11"/>
      <c r="P153" s="7">
        <v>45923.29</v>
      </c>
      <c r="Q153" s="2"/>
      <c r="R153" s="6">
        <f t="shared" si="31"/>
        <v>8.5961882589692031E-3</v>
      </c>
      <c r="S153" s="2"/>
      <c r="T153" s="7">
        <v>44276.85</v>
      </c>
      <c r="U153" s="2"/>
      <c r="V153" s="6">
        <f t="shared" si="32"/>
        <v>1.2355076646255783E-2</v>
      </c>
      <c r="W153" s="2"/>
      <c r="X153" s="7">
        <f t="shared" si="33"/>
        <v>1646.4400000000023</v>
      </c>
      <c r="Y153" s="2"/>
      <c r="Z153" s="6">
        <f t="shared" si="34"/>
        <v>3.7185120441043169E-2</v>
      </c>
    </row>
    <row r="154" spans="1:26" s="24" customFormat="1" hidden="1" outlineLevel="2" x14ac:dyDescent="0.25">
      <c r="A154" s="28"/>
      <c r="B154" s="11" t="str">
        <f>CONCATENATE("          ", "6119", " - ", "SICK LEAVE")</f>
        <v xml:space="preserve">          6119 - SICK LEAVE</v>
      </c>
      <c r="C154" s="11"/>
      <c r="D154" s="7">
        <v>11346.47</v>
      </c>
      <c r="E154" s="2"/>
      <c r="F154" s="6">
        <f t="shared" si="27"/>
        <v>4.8291009984086832E-3</v>
      </c>
      <c r="G154" s="2"/>
      <c r="H154" s="7">
        <v>10103.620000000001</v>
      </c>
      <c r="I154" s="2"/>
      <c r="J154" s="6">
        <f t="shared" si="28"/>
        <v>1.1278923156331562E-2</v>
      </c>
      <c r="K154" s="2"/>
      <c r="L154" s="7">
        <f t="shared" si="29"/>
        <v>1242.8499999999985</v>
      </c>
      <c r="M154" s="2"/>
      <c r="N154" s="6">
        <f t="shared" si="30"/>
        <v>0.12301036658148252</v>
      </c>
      <c r="O154" s="11"/>
      <c r="P154" s="7">
        <v>32070.32</v>
      </c>
      <c r="Q154" s="2"/>
      <c r="R154" s="6">
        <f t="shared" si="31"/>
        <v>6.0031088418400595E-3</v>
      </c>
      <c r="S154" s="2"/>
      <c r="T154" s="7">
        <v>30502.74</v>
      </c>
      <c r="U154" s="2"/>
      <c r="V154" s="6">
        <f t="shared" si="32"/>
        <v>8.5115289507002451E-3</v>
      </c>
      <c r="W154" s="2"/>
      <c r="X154" s="7">
        <f t="shared" si="33"/>
        <v>1567.5799999999981</v>
      </c>
      <c r="Y154" s="2"/>
      <c r="Z154" s="6">
        <f t="shared" si="34"/>
        <v>5.1391448768208954E-2</v>
      </c>
    </row>
    <row r="155" spans="1:26" s="24" customFormat="1" hidden="1" outlineLevel="2" x14ac:dyDescent="0.25">
      <c r="A155" s="28"/>
      <c r="B155" s="11" t="str">
        <f>CONCATENATE("          ", "6156", " - ", "EMPLOYEE MEALS")</f>
        <v xml:space="preserve">          6156 - EMPLOYEE MEALS</v>
      </c>
      <c r="C155" s="11"/>
      <c r="D155" s="7">
        <v>6632.65</v>
      </c>
      <c r="E155" s="2"/>
      <c r="F155" s="6">
        <f t="shared" si="27"/>
        <v>2.8228811901054121E-3</v>
      </c>
      <c r="G155" s="2"/>
      <c r="H155" s="7">
        <v>5618.9</v>
      </c>
      <c r="I155" s="2"/>
      <c r="J155" s="6">
        <f t="shared" si="28"/>
        <v>6.2725182977102665E-3</v>
      </c>
      <c r="K155" s="2"/>
      <c r="L155" s="7">
        <f t="shared" si="29"/>
        <v>1013.75</v>
      </c>
      <c r="M155" s="2"/>
      <c r="N155" s="6">
        <f t="shared" si="30"/>
        <v>0.18041787538486181</v>
      </c>
      <c r="O155" s="11"/>
      <c r="P155" s="7">
        <v>17391.13</v>
      </c>
      <c r="Q155" s="2"/>
      <c r="R155" s="6">
        <f t="shared" si="31"/>
        <v>3.2553727643687348E-3</v>
      </c>
      <c r="S155" s="2"/>
      <c r="T155" s="7">
        <v>14474.53</v>
      </c>
      <c r="U155" s="2"/>
      <c r="V155" s="6">
        <f t="shared" si="32"/>
        <v>4.0389939114577646E-3</v>
      </c>
      <c r="W155" s="2"/>
      <c r="X155" s="7">
        <f t="shared" si="33"/>
        <v>2916.6000000000004</v>
      </c>
      <c r="Y155" s="2"/>
      <c r="Z155" s="6">
        <f t="shared" si="34"/>
        <v>0.20149877059911447</v>
      </c>
    </row>
    <row r="156" spans="1:26" s="27" customFormat="1" outlineLevel="1" collapsed="1" x14ac:dyDescent="0.25">
      <c r="A156" s="29"/>
      <c r="B156" s="14" t="str">
        <f>CONCATENATE("     ","*Payroll                                          ")</f>
        <v xml:space="preserve">     *Payroll                                          </v>
      </c>
      <c r="C156" s="14"/>
      <c r="D156" s="1">
        <f>SUM(OSRRefD22_1x_0)</f>
        <v>481872.38000000006</v>
      </c>
      <c r="E156" s="1"/>
      <c r="F156" s="5">
        <f t="shared" ref="F156:F163" si="35">IF(D$12=0,0,D156/D$12)</f>
        <v>0.20508672665274474</v>
      </c>
      <c r="G156" s="1"/>
      <c r="H156" s="1">
        <f>SUM(OSRRefH22_1x_0)</f>
        <v>302225.3</v>
      </c>
      <c r="I156" s="1"/>
      <c r="J156" s="5">
        <f t="shared" ref="J156:J163" si="36">IF(H$12=0,0,H156/H$12)</f>
        <v>0.33738164485592814</v>
      </c>
      <c r="K156" s="1"/>
      <c r="L156" s="1">
        <f t="shared" ref="L156:L163" si="37">+D156-H156</f>
        <v>179647.08000000007</v>
      </c>
      <c r="M156" s="1"/>
      <c r="N156" s="5">
        <f t="shared" ref="N156:N163" si="38">IF(H156=0,0,L156/H156)</f>
        <v>0.59441443188244025</v>
      </c>
      <c r="O156" s="14"/>
      <c r="P156" s="1">
        <f>SUM(OSRRefP22_1x_0)</f>
        <v>1247632.04</v>
      </c>
      <c r="Q156" s="1"/>
      <c r="R156" s="5">
        <f t="shared" ref="R156:R163" si="39">IF(P$12=0,0,P156/P$12)</f>
        <v>0.23353901459938509</v>
      </c>
      <c r="S156" s="1"/>
      <c r="T156" s="1">
        <f>SUM(OSRRefT22_1x_0)</f>
        <v>894308.61999999988</v>
      </c>
      <c r="U156" s="1"/>
      <c r="V156" s="5">
        <f t="shared" ref="V156:V163" si="40">IF(T$12=0,0,T156/T$12)</f>
        <v>0.2495491785325116</v>
      </c>
      <c r="W156" s="1"/>
      <c r="X156" s="1">
        <f t="shared" ref="X156:X163" si="41">+P156-T156</f>
        <v>353323.42000000016</v>
      </c>
      <c r="Y156" s="1"/>
      <c r="Z156" s="5">
        <f t="shared" ref="Z156:Z163" si="42">IF(T156=0,0,X156/T156)</f>
        <v>0.39507996691343555</v>
      </c>
    </row>
    <row r="157" spans="1:26" s="24" customFormat="1" hidden="1" outlineLevel="2" x14ac:dyDescent="0.25">
      <c r="A157" s="28"/>
      <c r="B157" s="11" t="str">
        <f>CONCATENATE("          ", "6001", " - ", "ADMINISTRATIVE SALARIES")</f>
        <v xml:space="preserve">          6001 - ADMINISTRATIVE SALARIES</v>
      </c>
      <c r="C157" s="11"/>
      <c r="D157" s="7">
        <v>27089.58</v>
      </c>
      <c r="E157" s="2"/>
      <c r="F157" s="6">
        <f t="shared" si="35"/>
        <v>1.1529428784853078E-2</v>
      </c>
      <c r="G157" s="2"/>
      <c r="H157" s="7">
        <v>28440.28</v>
      </c>
      <c r="I157" s="2"/>
      <c r="J157" s="6">
        <f t="shared" si="36"/>
        <v>3.1748594331987283E-2</v>
      </c>
      <c r="K157" s="2"/>
      <c r="L157" s="7">
        <f t="shared" si="37"/>
        <v>-1350.6999999999971</v>
      </c>
      <c r="M157" s="2"/>
      <c r="N157" s="6">
        <f t="shared" si="38"/>
        <v>-4.7492500073838838E-2</v>
      </c>
      <c r="O157" s="11"/>
      <c r="P157" s="7">
        <v>90096.76</v>
      </c>
      <c r="Q157" s="2"/>
      <c r="R157" s="6">
        <f t="shared" si="39"/>
        <v>1.6864835043028624E-2</v>
      </c>
      <c r="S157" s="2"/>
      <c r="T157" s="7">
        <v>85487.18</v>
      </c>
      <c r="U157" s="2"/>
      <c r="V157" s="6">
        <f t="shared" si="40"/>
        <v>2.3854467089963818E-2</v>
      </c>
      <c r="W157" s="2"/>
      <c r="X157" s="7">
        <f t="shared" si="41"/>
        <v>4609.5800000000017</v>
      </c>
      <c r="Y157" s="2"/>
      <c r="Z157" s="6">
        <f t="shared" si="42"/>
        <v>5.3921301416188977E-2</v>
      </c>
    </row>
    <row r="158" spans="1:26" s="24" customFormat="1" hidden="1" outlineLevel="2" x14ac:dyDescent="0.25">
      <c r="A158" s="28"/>
      <c r="B158" s="11" t="str">
        <f>CONCATENATE("          ", "6002", " - ", "STAFF SALARIES")</f>
        <v xml:space="preserve">          6002 - STAFF SALARIES</v>
      </c>
      <c r="C158" s="11"/>
      <c r="D158" s="7">
        <v>122979.42</v>
      </c>
      <c r="E158" s="2"/>
      <c r="F158" s="6">
        <f t="shared" si="35"/>
        <v>5.2340511181514678E-2</v>
      </c>
      <c r="G158" s="2"/>
      <c r="H158" s="7">
        <v>110555.99</v>
      </c>
      <c r="I158" s="2"/>
      <c r="J158" s="6">
        <f t="shared" si="36"/>
        <v>0.12341641072033198</v>
      </c>
      <c r="K158" s="2"/>
      <c r="L158" s="7">
        <f t="shared" si="37"/>
        <v>12423.429999999993</v>
      </c>
      <c r="M158" s="2"/>
      <c r="N158" s="6">
        <f t="shared" si="38"/>
        <v>0.11237229208476168</v>
      </c>
      <c r="O158" s="11"/>
      <c r="P158" s="7">
        <v>374175.62</v>
      </c>
      <c r="Q158" s="2"/>
      <c r="R158" s="6">
        <f t="shared" si="39"/>
        <v>7.0040366694906264E-2</v>
      </c>
      <c r="S158" s="2"/>
      <c r="T158" s="7">
        <v>357011.6</v>
      </c>
      <c r="U158" s="2"/>
      <c r="V158" s="6">
        <f t="shared" si="40"/>
        <v>9.9621036311354827E-2</v>
      </c>
      <c r="W158" s="2"/>
      <c r="X158" s="7">
        <f t="shared" si="41"/>
        <v>17164.020000000019</v>
      </c>
      <c r="Y158" s="2"/>
      <c r="Z158" s="6">
        <f t="shared" si="42"/>
        <v>4.8076925231561159E-2</v>
      </c>
    </row>
    <row r="159" spans="1:26" s="24" customFormat="1" hidden="1" outlineLevel="2" x14ac:dyDescent="0.25">
      <c r="A159" s="28"/>
      <c r="B159" s="11" t="str">
        <f>CONCATENATE("          ", "6004", " - ", "STAFF HOURLY")</f>
        <v xml:space="preserve">          6004 - STAFF HOURLY</v>
      </c>
      <c r="C159" s="11"/>
      <c r="D159" s="7">
        <v>129060.43</v>
      </c>
      <c r="E159" s="2"/>
      <c r="F159" s="6">
        <f t="shared" si="35"/>
        <v>5.4928612279242263E-2</v>
      </c>
      <c r="G159" s="2"/>
      <c r="H159" s="7">
        <v>71482.58</v>
      </c>
      <c r="I159" s="2"/>
      <c r="J159" s="6">
        <f t="shared" si="36"/>
        <v>7.979778800433146E-2</v>
      </c>
      <c r="K159" s="2"/>
      <c r="L159" s="7">
        <f t="shared" si="37"/>
        <v>57577.849999999991</v>
      </c>
      <c r="M159" s="2"/>
      <c r="N159" s="6">
        <f t="shared" si="38"/>
        <v>0.80548085981227857</v>
      </c>
      <c r="O159" s="11"/>
      <c r="P159" s="7">
        <v>273882.81</v>
      </c>
      <c r="Q159" s="2"/>
      <c r="R159" s="6">
        <f t="shared" si="39"/>
        <v>5.1266975768841754E-2</v>
      </c>
      <c r="S159" s="2"/>
      <c r="T159" s="7">
        <v>190378.37</v>
      </c>
      <c r="U159" s="2"/>
      <c r="V159" s="6">
        <f t="shared" si="40"/>
        <v>5.3123457362916349E-2</v>
      </c>
      <c r="W159" s="2"/>
      <c r="X159" s="7">
        <f t="shared" si="41"/>
        <v>83504.44</v>
      </c>
      <c r="Y159" s="2"/>
      <c r="Z159" s="6">
        <f t="shared" si="42"/>
        <v>0.43862356842324052</v>
      </c>
    </row>
    <row r="160" spans="1:26" s="24" customFormat="1" hidden="1" outlineLevel="2" x14ac:dyDescent="0.25">
      <c r="A160" s="28"/>
      <c r="B160" s="11" t="str">
        <f>CONCATENATE("          ", "6005", " - ", "TEMPORARY WAGES-HOURLY")</f>
        <v xml:space="preserve">          6005 - TEMPORARY WAGES-HOURLY</v>
      </c>
      <c r="C160" s="11"/>
      <c r="D160" s="7">
        <v>69290.64</v>
      </c>
      <c r="E160" s="2"/>
      <c r="F160" s="6">
        <f t="shared" si="35"/>
        <v>2.9490361214049538E-2</v>
      </c>
      <c r="G160" s="2"/>
      <c r="H160" s="7">
        <v>48822.03</v>
      </c>
      <c r="I160" s="2"/>
      <c r="J160" s="6">
        <f t="shared" si="36"/>
        <v>5.4501250512797805E-2</v>
      </c>
      <c r="K160" s="2"/>
      <c r="L160" s="7">
        <f t="shared" si="37"/>
        <v>20468.61</v>
      </c>
      <c r="M160" s="2"/>
      <c r="N160" s="6">
        <f t="shared" si="38"/>
        <v>0.41924946586612644</v>
      </c>
      <c r="O160" s="11"/>
      <c r="P160" s="7">
        <v>131016.63</v>
      </c>
      <c r="Q160" s="2"/>
      <c r="R160" s="6">
        <f t="shared" si="39"/>
        <v>2.4524454074081194E-2</v>
      </c>
      <c r="S160" s="2"/>
      <c r="T160" s="7">
        <v>99463.63</v>
      </c>
      <c r="U160" s="2"/>
      <c r="V160" s="6">
        <f t="shared" si="40"/>
        <v>2.7754476033521495E-2</v>
      </c>
      <c r="W160" s="2"/>
      <c r="X160" s="7">
        <f t="shared" si="41"/>
        <v>31553</v>
      </c>
      <c r="Y160" s="2"/>
      <c r="Z160" s="6">
        <f t="shared" si="42"/>
        <v>0.31723153478311616</v>
      </c>
    </row>
    <row r="161" spans="1:26" s="24" customFormat="1" hidden="1" outlineLevel="2" x14ac:dyDescent="0.25">
      <c r="A161" s="28"/>
      <c r="B161" s="11" t="str">
        <f>CONCATENATE("          ", "6006", " - ", "TEMPORARY PART TIME")</f>
        <v xml:space="preserve">          6006 - TEMPORARY PART TIME</v>
      </c>
      <c r="C161" s="11"/>
      <c r="D161" s="7">
        <v>2957.46</v>
      </c>
      <c r="E161" s="2"/>
      <c r="F161" s="6">
        <f t="shared" si="35"/>
        <v>1.2587062794643395E-3</v>
      </c>
      <c r="G161" s="2"/>
      <c r="H161" s="7">
        <v>1728.86</v>
      </c>
      <c r="I161" s="2"/>
      <c r="J161" s="6">
        <f t="shared" si="36"/>
        <v>1.9299695641814896E-3</v>
      </c>
      <c r="K161" s="2"/>
      <c r="L161" s="7">
        <f t="shared" si="37"/>
        <v>1228.6000000000001</v>
      </c>
      <c r="M161" s="2"/>
      <c r="N161" s="6">
        <f t="shared" si="38"/>
        <v>0.71064169452702952</v>
      </c>
      <c r="O161" s="11"/>
      <c r="P161" s="7">
        <v>9095.65</v>
      </c>
      <c r="Q161" s="2"/>
      <c r="R161" s="6">
        <f t="shared" si="39"/>
        <v>1.7025766171738397E-3</v>
      </c>
      <c r="S161" s="2"/>
      <c r="T161" s="7">
        <v>5704.41</v>
      </c>
      <c r="U161" s="2"/>
      <c r="V161" s="6">
        <f t="shared" si="40"/>
        <v>1.5917668662442778E-3</v>
      </c>
      <c r="W161" s="2"/>
      <c r="X161" s="7">
        <f t="shared" si="41"/>
        <v>3391.24</v>
      </c>
      <c r="Y161" s="2"/>
      <c r="Z161" s="6">
        <f t="shared" si="42"/>
        <v>0.59449443500730137</v>
      </c>
    </row>
    <row r="162" spans="1:26" s="24" customFormat="1" hidden="1" outlineLevel="2" x14ac:dyDescent="0.25">
      <c r="A162" s="28"/>
      <c r="B162" s="11" t="str">
        <f>CONCATENATE("          ", "6007", " - ", "STUDENT HOURLY")</f>
        <v xml:space="preserve">          6007 - STUDENT HOURLY</v>
      </c>
      <c r="C162" s="11"/>
      <c r="D162" s="7">
        <v>116733.89</v>
      </c>
      <c r="E162" s="2"/>
      <c r="F162" s="6">
        <f t="shared" si="35"/>
        <v>4.968238974298874E-2</v>
      </c>
      <c r="G162" s="2"/>
      <c r="H162" s="7">
        <v>36210.199999999997</v>
      </c>
      <c r="I162" s="2"/>
      <c r="J162" s="6">
        <f t="shared" si="36"/>
        <v>4.0422349937487466E-2</v>
      </c>
      <c r="K162" s="2"/>
      <c r="L162" s="7">
        <f t="shared" si="37"/>
        <v>80523.69</v>
      </c>
      <c r="M162" s="2"/>
      <c r="N162" s="6">
        <f t="shared" si="38"/>
        <v>2.2237847346880164</v>
      </c>
      <c r="O162" s="11"/>
      <c r="P162" s="7">
        <v>328752.95</v>
      </c>
      <c r="Q162" s="2"/>
      <c r="R162" s="6">
        <f t="shared" si="39"/>
        <v>6.1537887396384043E-2</v>
      </c>
      <c r="S162" s="2"/>
      <c r="T162" s="7">
        <v>150228.71</v>
      </c>
      <c r="U162" s="2"/>
      <c r="V162" s="6">
        <f t="shared" si="40"/>
        <v>4.1920037819269722E-2</v>
      </c>
      <c r="W162" s="2"/>
      <c r="X162" s="7">
        <f t="shared" si="41"/>
        <v>178524.24000000002</v>
      </c>
      <c r="Y162" s="2"/>
      <c r="Z162" s="6">
        <f t="shared" si="42"/>
        <v>1.1883496836257199</v>
      </c>
    </row>
    <row r="163" spans="1:26" s="24" customFormat="1" hidden="1" outlineLevel="2" x14ac:dyDescent="0.25">
      <c r="A163" s="28"/>
      <c r="B163" s="11" t="str">
        <f>CONCATENATE("          ", "6008", " - ", "STUDENT HOURLY-FICA EXEMPT")</f>
        <v xml:space="preserve">          6008 - STUDENT HOURLY-FICA EXEMPT</v>
      </c>
      <c r="C163" s="11"/>
      <c r="D163" s="7">
        <v>13760.96</v>
      </c>
      <c r="E163" s="2"/>
      <c r="F163" s="6">
        <f t="shared" si="35"/>
        <v>5.8567171706320953E-3</v>
      </c>
      <c r="G163" s="2"/>
      <c r="H163" s="7">
        <v>4985.3599999999997</v>
      </c>
      <c r="I163" s="2"/>
      <c r="J163" s="6">
        <f t="shared" si="36"/>
        <v>5.5652817848107026E-3</v>
      </c>
      <c r="K163" s="2"/>
      <c r="L163" s="7">
        <f t="shared" si="37"/>
        <v>8775.5999999999985</v>
      </c>
      <c r="M163" s="2"/>
      <c r="N163" s="6">
        <f t="shared" si="38"/>
        <v>1.7602740825135996</v>
      </c>
      <c r="O163" s="11"/>
      <c r="P163" s="7">
        <v>40611.620000000003</v>
      </c>
      <c r="Q163" s="2"/>
      <c r="R163" s="6">
        <f t="shared" si="39"/>
        <v>7.6019190049693491E-3</v>
      </c>
      <c r="S163" s="2"/>
      <c r="T163" s="7">
        <v>6034.72</v>
      </c>
      <c r="U163" s="2"/>
      <c r="V163" s="6">
        <f t="shared" si="40"/>
        <v>1.683937049241143E-3</v>
      </c>
      <c r="W163" s="2"/>
      <c r="X163" s="7">
        <f t="shared" si="41"/>
        <v>34576.9</v>
      </c>
      <c r="Y163" s="2"/>
      <c r="Z163" s="6">
        <f t="shared" si="42"/>
        <v>5.7296610281835774</v>
      </c>
    </row>
    <row r="164" spans="1:26" s="27" customFormat="1" outlineLevel="1" collapsed="1" x14ac:dyDescent="0.25">
      <c r="A164" s="29"/>
      <c r="B164" s="14" t="str">
        <f>CONCATENATE("     ","Advertising/Promo                                 ")</f>
        <v xml:space="preserve">     Advertising/Promo                                 </v>
      </c>
      <c r="C164" s="14"/>
      <c r="D164" s="1">
        <f>SUM(OSRRefD22_2x_0)</f>
        <v>1134.2</v>
      </c>
      <c r="E164" s="1"/>
      <c r="F164" s="5">
        <f t="shared" ref="F164:F172" si="43">IF(D$12=0,0,D164/D$12)</f>
        <v>4.8271985493242645E-4</v>
      </c>
      <c r="G164" s="1"/>
      <c r="H164" s="1">
        <f>SUM(OSRRefH22_2x_0)</f>
        <v>441</v>
      </c>
      <c r="I164" s="1"/>
      <c r="J164" s="5">
        <f t="shared" ref="J164:J172" si="44">IF(H$12=0,0,H164/H$12)</f>
        <v>4.9229930578765027E-4</v>
      </c>
      <c r="K164" s="1"/>
      <c r="L164" s="1">
        <f t="shared" ref="L164:L172" si="45">+D164-H164</f>
        <v>693.2</v>
      </c>
      <c r="M164" s="1"/>
      <c r="N164" s="5">
        <f t="shared" ref="N164:N172" si="46">IF(H164=0,0,L164/H164)</f>
        <v>1.5718820861678005</v>
      </c>
      <c r="O164" s="14"/>
      <c r="P164" s="1">
        <f>SUM(OSRRefP22_2x_0)</f>
        <v>5925.45</v>
      </c>
      <c r="Q164" s="1"/>
      <c r="R164" s="5">
        <f t="shared" ref="R164:R172" si="47">IF(P$12=0,0,P164/P$12)</f>
        <v>1.1091601607617629E-3</v>
      </c>
      <c r="S164" s="1"/>
      <c r="T164" s="1">
        <f>SUM(OSRRefT22_2x_0)</f>
        <v>14167.05</v>
      </c>
      <c r="U164" s="1"/>
      <c r="V164" s="5">
        <f t="shared" ref="V164:V172" si="48">IF(T$12=0,0,T164/T$12)</f>
        <v>3.9531942448782602E-3</v>
      </c>
      <c r="W164" s="1"/>
      <c r="X164" s="1">
        <f t="shared" ref="X164:X172" si="49">+P164-T164</f>
        <v>-8241.5999999999985</v>
      </c>
      <c r="Y164" s="1"/>
      <c r="Z164" s="5">
        <f t="shared" ref="Z164:Z172" si="50">IF(T164=0,0,X164/T164)</f>
        <v>-0.58174425868476498</v>
      </c>
    </row>
    <row r="165" spans="1:26" s="24" customFormat="1" hidden="1" outlineLevel="2" x14ac:dyDescent="0.25">
      <c r="A165" s="28"/>
      <c r="B165" s="11" t="str">
        <f>CONCATENATE("          ", "6362", " - ", "ADVERTISING EXPENSE")</f>
        <v xml:space="preserve">          6362 - ADVERTISING EXPENSE</v>
      </c>
      <c r="C165" s="11"/>
      <c r="D165" s="7">
        <v>1134.2</v>
      </c>
      <c r="E165" s="2"/>
      <c r="F165" s="6">
        <f t="shared" si="43"/>
        <v>4.8271985493242645E-4</v>
      </c>
      <c r="G165" s="2"/>
      <c r="H165" s="7">
        <v>441</v>
      </c>
      <c r="I165" s="2"/>
      <c r="J165" s="6">
        <f t="shared" si="44"/>
        <v>4.9229930578765027E-4</v>
      </c>
      <c r="K165" s="2"/>
      <c r="L165" s="7">
        <f t="shared" si="45"/>
        <v>693.2</v>
      </c>
      <c r="M165" s="2"/>
      <c r="N165" s="6">
        <f t="shared" si="46"/>
        <v>1.5718820861678005</v>
      </c>
      <c r="O165" s="11"/>
      <c r="P165" s="7">
        <v>5925.45</v>
      </c>
      <c r="Q165" s="2"/>
      <c r="R165" s="6">
        <f t="shared" si="47"/>
        <v>1.1091601607617629E-3</v>
      </c>
      <c r="S165" s="2"/>
      <c r="T165" s="7">
        <v>14167.05</v>
      </c>
      <c r="U165" s="2"/>
      <c r="V165" s="6">
        <f t="shared" si="48"/>
        <v>3.9531942448782602E-3</v>
      </c>
      <c r="W165" s="2"/>
      <c r="X165" s="7">
        <f t="shared" si="49"/>
        <v>-8241.5999999999985</v>
      </c>
      <c r="Y165" s="2"/>
      <c r="Z165" s="6">
        <f t="shared" si="50"/>
        <v>-0.58174425868476498</v>
      </c>
    </row>
    <row r="166" spans="1:26" s="27" customFormat="1" outlineLevel="1" collapsed="1" x14ac:dyDescent="0.25">
      <c r="A166" s="29"/>
      <c r="B166" s="14" t="str">
        <f>CONCATENATE("     ","Bad Debts/Over/Short                              ")</f>
        <v xml:space="preserve">     Bad Debts/Over/Short                              </v>
      </c>
      <c r="C166" s="14"/>
      <c r="D166" s="1">
        <f>SUM(OSRRefD22_3x_0)</f>
        <v>104.72</v>
      </c>
      <c r="E166" s="1"/>
      <c r="F166" s="5">
        <f t="shared" si="43"/>
        <v>4.4569232241689028E-5</v>
      </c>
      <c r="G166" s="1"/>
      <c r="H166" s="1">
        <f>SUM(OSRRefH22_3x_0)</f>
        <v>-155.86000000000001</v>
      </c>
      <c r="I166" s="1"/>
      <c r="J166" s="5">
        <f t="shared" si="44"/>
        <v>-1.7399040770989382E-4</v>
      </c>
      <c r="K166" s="1"/>
      <c r="L166" s="1">
        <f t="shared" si="45"/>
        <v>260.58000000000004</v>
      </c>
      <c r="M166" s="1"/>
      <c r="N166" s="5">
        <f t="shared" si="46"/>
        <v>-1.6718850250224562</v>
      </c>
      <c r="O166" s="14"/>
      <c r="P166" s="1">
        <f>SUM(OSRRefP22_3x_0)</f>
        <v>148.21</v>
      </c>
      <c r="Q166" s="1"/>
      <c r="R166" s="5">
        <f t="shared" si="47"/>
        <v>2.7742808972567635E-5</v>
      </c>
      <c r="S166" s="1"/>
      <c r="T166" s="1">
        <f>SUM(OSRRefT22_3x_0)</f>
        <v>-48.46</v>
      </c>
      <c r="U166" s="1"/>
      <c r="V166" s="5">
        <f t="shared" si="48"/>
        <v>-1.3522348908686035E-5</v>
      </c>
      <c r="W166" s="1"/>
      <c r="X166" s="1">
        <f t="shared" si="49"/>
        <v>196.67000000000002</v>
      </c>
      <c r="Y166" s="1"/>
      <c r="Z166" s="5">
        <f t="shared" si="50"/>
        <v>-4.0583986793231537</v>
      </c>
    </row>
    <row r="167" spans="1:26" s="24" customFormat="1" hidden="1" outlineLevel="2" x14ac:dyDescent="0.25">
      <c r="A167" s="28"/>
      <c r="B167" s="11" t="str">
        <f>CONCATENATE("          ", "6272", " - ", "CASH (OVER/SHORT)")</f>
        <v xml:space="preserve">          6272 - CASH (OVER/SHORT)</v>
      </c>
      <c r="C167" s="11"/>
      <c r="D167" s="7">
        <v>104.72</v>
      </c>
      <c r="E167" s="2"/>
      <c r="F167" s="6">
        <f t="shared" si="43"/>
        <v>4.4569232241689028E-5</v>
      </c>
      <c r="G167" s="2"/>
      <c r="H167" s="7">
        <v>-155.86000000000001</v>
      </c>
      <c r="I167" s="2"/>
      <c r="J167" s="6">
        <f t="shared" si="44"/>
        <v>-1.7399040770989382E-4</v>
      </c>
      <c r="K167" s="2"/>
      <c r="L167" s="7">
        <f t="shared" si="45"/>
        <v>260.58000000000004</v>
      </c>
      <c r="M167" s="2"/>
      <c r="N167" s="6">
        <f t="shared" si="46"/>
        <v>-1.6718850250224562</v>
      </c>
      <c r="O167" s="11"/>
      <c r="P167" s="7">
        <v>148.21</v>
      </c>
      <c r="Q167" s="2"/>
      <c r="R167" s="6">
        <f t="shared" si="47"/>
        <v>2.7742808972567635E-5</v>
      </c>
      <c r="S167" s="2"/>
      <c r="T167" s="7">
        <v>-48.46</v>
      </c>
      <c r="U167" s="2"/>
      <c r="V167" s="6">
        <f t="shared" si="48"/>
        <v>-1.3522348908686035E-5</v>
      </c>
      <c r="W167" s="2"/>
      <c r="X167" s="7">
        <f t="shared" si="49"/>
        <v>196.67000000000002</v>
      </c>
      <c r="Y167" s="2"/>
      <c r="Z167" s="6">
        <f t="shared" si="50"/>
        <v>-4.0583986793231537</v>
      </c>
    </row>
    <row r="168" spans="1:26" s="27" customFormat="1" outlineLevel="1" collapsed="1" x14ac:dyDescent="0.25">
      <c r="A168" s="29"/>
      <c r="B168" s="14" t="str">
        <f>CONCATENATE("     ","Bank/card Fees                                    ")</f>
        <v xml:space="preserve">     Bank/card Fees                                    </v>
      </c>
      <c r="C168" s="14"/>
      <c r="D168" s="1">
        <f>SUM(OSRRefD22_4x_0)</f>
        <v>17061.310000000001</v>
      </c>
      <c r="E168" s="1"/>
      <c r="F168" s="5">
        <f t="shared" si="43"/>
        <v>7.26135874462807E-3</v>
      </c>
      <c r="G168" s="1"/>
      <c r="H168" s="1">
        <f>SUM(OSRRefH22_4x_0)</f>
        <v>9747.83</v>
      </c>
      <c r="I168" s="1"/>
      <c r="J168" s="5">
        <f t="shared" si="44"/>
        <v>1.0881745900081702E-2</v>
      </c>
      <c r="K168" s="1"/>
      <c r="L168" s="1">
        <f t="shared" si="45"/>
        <v>7313.4800000000014</v>
      </c>
      <c r="M168" s="1"/>
      <c r="N168" s="5">
        <f t="shared" si="46"/>
        <v>0.75026749543231686</v>
      </c>
      <c r="O168" s="14"/>
      <c r="P168" s="1">
        <f>SUM(OSRRefP22_4x_0)</f>
        <v>48505.73</v>
      </c>
      <c r="Q168" s="1"/>
      <c r="R168" s="5">
        <f t="shared" si="47"/>
        <v>9.0795843834082929E-3</v>
      </c>
      <c r="S168" s="1"/>
      <c r="T168" s="1">
        <f>SUM(OSRRefT22_4x_0)</f>
        <v>36051.699999999997</v>
      </c>
      <c r="U168" s="1"/>
      <c r="V168" s="5">
        <f t="shared" si="48"/>
        <v>1.0059918822766741E-2</v>
      </c>
      <c r="W168" s="1"/>
      <c r="X168" s="1">
        <f t="shared" si="49"/>
        <v>12454.030000000006</v>
      </c>
      <c r="Y168" s="1"/>
      <c r="Z168" s="5">
        <f t="shared" si="50"/>
        <v>0.34544917438012651</v>
      </c>
    </row>
    <row r="169" spans="1:26" s="24" customFormat="1" hidden="1" outlineLevel="2" x14ac:dyDescent="0.25">
      <c r="A169" s="28"/>
      <c r="B169" s="11" t="str">
        <f>CONCATENATE("          ", "6381", " - ", "BANK/CREDIT CARD FEES")</f>
        <v xml:space="preserve">          6381 - BANK/CREDIT CARD FEES</v>
      </c>
      <c r="C169" s="11"/>
      <c r="D169" s="7">
        <v>17061.310000000001</v>
      </c>
      <c r="E169" s="2"/>
      <c r="F169" s="6">
        <f t="shared" si="43"/>
        <v>7.26135874462807E-3</v>
      </c>
      <c r="G169" s="2"/>
      <c r="H169" s="7">
        <v>9747.83</v>
      </c>
      <c r="I169" s="2"/>
      <c r="J169" s="6">
        <f t="shared" si="44"/>
        <v>1.0881745900081702E-2</v>
      </c>
      <c r="K169" s="2"/>
      <c r="L169" s="7">
        <f t="shared" si="45"/>
        <v>7313.4800000000014</v>
      </c>
      <c r="M169" s="2"/>
      <c r="N169" s="6">
        <f t="shared" si="46"/>
        <v>0.75026749543231686</v>
      </c>
      <c r="O169" s="11"/>
      <c r="P169" s="7">
        <v>48505.73</v>
      </c>
      <c r="Q169" s="2"/>
      <c r="R169" s="6">
        <f t="shared" si="47"/>
        <v>9.0795843834082929E-3</v>
      </c>
      <c r="S169" s="2"/>
      <c r="T169" s="7">
        <v>36051.699999999997</v>
      </c>
      <c r="U169" s="2"/>
      <c r="V169" s="6">
        <f t="shared" si="48"/>
        <v>1.0059918822766741E-2</v>
      </c>
      <c r="W169" s="2"/>
      <c r="X169" s="7">
        <f t="shared" si="49"/>
        <v>12454.030000000006</v>
      </c>
      <c r="Y169" s="2"/>
      <c r="Z169" s="6">
        <f t="shared" si="50"/>
        <v>0.34544917438012651</v>
      </c>
    </row>
    <row r="170" spans="1:26" s="27" customFormat="1" outlineLevel="1" collapsed="1" x14ac:dyDescent="0.25">
      <c r="A170" s="29"/>
      <c r="B170" s="14" t="str">
        <f>CONCATENATE("     ","Depreciation                                      ")</f>
        <v xml:space="preserve">     Depreciation                                      </v>
      </c>
      <c r="C170" s="14"/>
      <c r="D170" s="1">
        <f>SUM(OSRRefD22_5x_0)</f>
        <v>71678.73</v>
      </c>
      <c r="E170" s="1"/>
      <c r="F170" s="5">
        <f t="shared" si="43"/>
        <v>3.0506741445371681E-2</v>
      </c>
      <c r="G170" s="1"/>
      <c r="H170" s="1">
        <f>SUM(OSRRefH22_5x_0)</f>
        <v>79051.19</v>
      </c>
      <c r="I170" s="1"/>
      <c r="J170" s="5">
        <f t="shared" si="44"/>
        <v>8.8246816232851785E-2</v>
      </c>
      <c r="K170" s="1"/>
      <c r="L170" s="1">
        <f t="shared" si="45"/>
        <v>-7372.4600000000064</v>
      </c>
      <c r="M170" s="1"/>
      <c r="N170" s="5">
        <f t="shared" si="46"/>
        <v>-9.3261847165109171E-2</v>
      </c>
      <c r="O170" s="14"/>
      <c r="P170" s="1">
        <f>SUM(OSRRefP22_5x_0)</f>
        <v>215124.34999999998</v>
      </c>
      <c r="Q170" s="1"/>
      <c r="R170" s="5">
        <f t="shared" si="47"/>
        <v>4.0268225810659058E-2</v>
      </c>
      <c r="S170" s="1"/>
      <c r="T170" s="1">
        <f>SUM(OSRRefT22_5x_0)</f>
        <v>235546.03</v>
      </c>
      <c r="U170" s="1"/>
      <c r="V170" s="5">
        <f t="shared" si="48"/>
        <v>6.5727106927689391E-2</v>
      </c>
      <c r="W170" s="1"/>
      <c r="X170" s="1">
        <f t="shared" si="49"/>
        <v>-20421.680000000022</v>
      </c>
      <c r="Y170" s="1"/>
      <c r="Z170" s="5">
        <f t="shared" si="50"/>
        <v>-8.6699317326638964E-2</v>
      </c>
    </row>
    <row r="171" spans="1:26" s="24" customFormat="1" hidden="1" outlineLevel="2" x14ac:dyDescent="0.25">
      <c r="A171" s="28"/>
      <c r="B171" s="11" t="str">
        <f>CONCATENATE("          ", "6321", " - ", "BUILDING DEPRECIATION")</f>
        <v xml:space="preserve">          6321 - BUILDING DEPRECIATION</v>
      </c>
      <c r="C171" s="11"/>
      <c r="D171" s="7">
        <v>45016.43</v>
      </c>
      <c r="E171" s="2"/>
      <c r="F171" s="6">
        <f t="shared" si="43"/>
        <v>1.915916466159031E-2</v>
      </c>
      <c r="G171" s="2"/>
      <c r="H171" s="7">
        <v>45321.91</v>
      </c>
      <c r="I171" s="2"/>
      <c r="J171" s="6">
        <f t="shared" si="44"/>
        <v>5.059397920628201E-2</v>
      </c>
      <c r="K171" s="2"/>
      <c r="L171" s="7">
        <f t="shared" si="45"/>
        <v>-305.4800000000032</v>
      </c>
      <c r="M171" s="2"/>
      <c r="N171" s="6">
        <f t="shared" si="46"/>
        <v>-6.7402278500619936E-3</v>
      </c>
      <c r="O171" s="11"/>
      <c r="P171" s="7">
        <v>135137.43</v>
      </c>
      <c r="Q171" s="2"/>
      <c r="R171" s="6">
        <f t="shared" si="47"/>
        <v>2.5295809361944067E-2</v>
      </c>
      <c r="S171" s="2"/>
      <c r="T171" s="7">
        <v>135965.75</v>
      </c>
      <c r="U171" s="2"/>
      <c r="V171" s="6">
        <f t="shared" si="48"/>
        <v>3.7940080708443631E-2</v>
      </c>
      <c r="W171" s="2"/>
      <c r="X171" s="7">
        <f t="shared" si="49"/>
        <v>-828.32000000000698</v>
      </c>
      <c r="Y171" s="2"/>
      <c r="Z171" s="6">
        <f t="shared" si="50"/>
        <v>-6.0921224646648658E-3</v>
      </c>
    </row>
    <row r="172" spans="1:26" s="24" customFormat="1" hidden="1" outlineLevel="2" x14ac:dyDescent="0.25">
      <c r="A172" s="28"/>
      <c r="B172" s="11" t="str">
        <f>CONCATENATE("          ", "6322", " - ", "EQUIPMENT DEPRECIATION EXPENSE")</f>
        <v xml:space="preserve">          6322 - EQUIPMENT DEPRECIATION EXPENSE</v>
      </c>
      <c r="C172" s="11"/>
      <c r="D172" s="7">
        <v>26662.3</v>
      </c>
      <c r="E172" s="2"/>
      <c r="F172" s="6">
        <f t="shared" si="43"/>
        <v>1.1347576783781373E-2</v>
      </c>
      <c r="G172" s="2"/>
      <c r="H172" s="7">
        <v>33729.279999999999</v>
      </c>
      <c r="I172" s="2"/>
      <c r="J172" s="6">
        <f t="shared" si="44"/>
        <v>3.7652837026569783E-2</v>
      </c>
      <c r="K172" s="2"/>
      <c r="L172" s="7">
        <f t="shared" si="45"/>
        <v>-7066.98</v>
      </c>
      <c r="M172" s="2"/>
      <c r="N172" s="6">
        <f t="shared" si="46"/>
        <v>-0.20952063014686348</v>
      </c>
      <c r="O172" s="11"/>
      <c r="P172" s="7">
        <v>79986.92</v>
      </c>
      <c r="Q172" s="2"/>
      <c r="R172" s="6">
        <f t="shared" si="47"/>
        <v>1.4972416448714995E-2</v>
      </c>
      <c r="S172" s="2"/>
      <c r="T172" s="7">
        <v>99580.28</v>
      </c>
      <c r="U172" s="2"/>
      <c r="V172" s="6">
        <f t="shared" si="48"/>
        <v>2.7787026219245767E-2</v>
      </c>
      <c r="W172" s="2"/>
      <c r="X172" s="7">
        <f t="shared" si="49"/>
        <v>-19593.36</v>
      </c>
      <c r="Y172" s="2"/>
      <c r="Z172" s="6">
        <f t="shared" si="50"/>
        <v>-0.19675943871617957</v>
      </c>
    </row>
    <row r="173" spans="1:26" s="27" customFormat="1" outlineLevel="1" collapsed="1" x14ac:dyDescent="0.25">
      <c r="A173" s="29"/>
      <c r="B173" s="14" t="str">
        <f>CONCATENATE("     ","Discounts and Markdowns                           ")</f>
        <v xml:space="preserve">     Discounts and Markdowns                           </v>
      </c>
      <c r="C173" s="14"/>
      <c r="D173" s="1">
        <f>SUM(OSRRefD22_6x_0)</f>
        <v>135.49</v>
      </c>
      <c r="E173" s="1"/>
      <c r="F173" s="5">
        <f t="shared" ref="F173:F175" si="51">IF(D$12=0,0,D173/D$12)</f>
        <v>5.7665061845172339E-5</v>
      </c>
      <c r="G173" s="1"/>
      <c r="H173" s="1">
        <f>SUM(OSRRefH22_6x_0)</f>
        <v>830.95</v>
      </c>
      <c r="I173" s="1"/>
      <c r="J173" s="5">
        <f t="shared" ref="J173:J175" si="52">IF(H$12=0,0,H173/H$12)</f>
        <v>9.2761022254931518E-4</v>
      </c>
      <c r="K173" s="1"/>
      <c r="L173" s="1">
        <f t="shared" ref="L173:L175" si="53">+D173-H173</f>
        <v>-695.46</v>
      </c>
      <c r="M173" s="1"/>
      <c r="N173" s="5">
        <f t="shared" ref="N173:N175" si="54">IF(H173=0,0,L173/H173)</f>
        <v>-0.83694566460075814</v>
      </c>
      <c r="O173" s="14"/>
      <c r="P173" s="1">
        <f>SUM(OSRRefP22_6x_0)</f>
        <v>-22.49</v>
      </c>
      <c r="Q173" s="1"/>
      <c r="R173" s="5">
        <f t="shared" ref="R173:R175" si="55">IF(P$12=0,0,P173/P$12)</f>
        <v>-4.2098088778965393E-6</v>
      </c>
      <c r="S173" s="1"/>
      <c r="T173" s="1">
        <f>SUM(OSRRefT22_6x_0)</f>
        <v>830.95</v>
      </c>
      <c r="U173" s="1"/>
      <c r="V173" s="5">
        <f t="shared" ref="V173:V175" si="56">IF(T$12=0,0,T173/T$12)</f>
        <v>2.3186949702172228E-4</v>
      </c>
      <c r="W173" s="1"/>
      <c r="X173" s="1">
        <f t="shared" ref="X173:X175" si="57">+P173-T173</f>
        <v>-853.44</v>
      </c>
      <c r="Y173" s="1"/>
      <c r="Z173" s="5">
        <f t="shared" ref="Z173:Z175" si="58">IF(T173=0,0,X173/T173)</f>
        <v>-1.0270654070642036</v>
      </c>
    </row>
    <row r="174" spans="1:26" s="24" customFormat="1" hidden="1" outlineLevel="2" x14ac:dyDescent="0.25">
      <c r="A174" s="28"/>
      <c r="B174" s="11" t="str">
        <f>CONCATENATE("          ", "6382", " - ", "DISCOUNTS/MARK DOWNS")</f>
        <v xml:space="preserve">          6382 - DISCOUNTS/MARK DOWNS</v>
      </c>
      <c r="C174" s="11"/>
      <c r="D174" s="7"/>
      <c r="E174" s="2"/>
      <c r="F174" s="6">
        <f t="shared" si="51"/>
        <v>0</v>
      </c>
      <c r="G174" s="2"/>
      <c r="H174" s="7">
        <v>830.95</v>
      </c>
      <c r="I174" s="2"/>
      <c r="J174" s="6">
        <f t="shared" si="52"/>
        <v>9.2761022254931518E-4</v>
      </c>
      <c r="K174" s="2"/>
      <c r="L174" s="7">
        <f t="shared" si="53"/>
        <v>-830.95</v>
      </c>
      <c r="M174" s="2"/>
      <c r="N174" s="6">
        <f t="shared" si="54"/>
        <v>-1</v>
      </c>
      <c r="O174" s="11"/>
      <c r="P174" s="7"/>
      <c r="Q174" s="2"/>
      <c r="R174" s="6">
        <f t="shared" si="55"/>
        <v>0</v>
      </c>
      <c r="S174" s="2"/>
      <c r="T174" s="7">
        <v>830.95</v>
      </c>
      <c r="U174" s="2"/>
      <c r="V174" s="6">
        <f t="shared" si="56"/>
        <v>2.3186949702172228E-4</v>
      </c>
      <c r="W174" s="2"/>
      <c r="X174" s="7">
        <f t="shared" si="57"/>
        <v>-830.95</v>
      </c>
      <c r="Y174" s="2"/>
      <c r="Z174" s="6">
        <f t="shared" si="58"/>
        <v>-1</v>
      </c>
    </row>
    <row r="175" spans="1:26" s="24" customFormat="1" hidden="1" outlineLevel="2" x14ac:dyDescent="0.25">
      <c r="A175" s="28"/>
      <c r="B175" s="11" t="str">
        <f>CONCATENATE("          ", "9175", " - ", "EARNED DISCOUNTS")</f>
        <v xml:space="preserve">          9175 - EARNED DISCOUNTS</v>
      </c>
      <c r="C175" s="11"/>
      <c r="D175" s="7">
        <v>135.49</v>
      </c>
      <c r="E175" s="2"/>
      <c r="F175" s="6">
        <f t="shared" si="51"/>
        <v>5.7665061845172339E-5</v>
      </c>
      <c r="G175" s="2"/>
      <c r="H175" s="7"/>
      <c r="I175" s="2"/>
      <c r="J175" s="6">
        <f t="shared" si="52"/>
        <v>0</v>
      </c>
      <c r="K175" s="2"/>
      <c r="L175" s="7">
        <f t="shared" si="53"/>
        <v>135.49</v>
      </c>
      <c r="M175" s="2"/>
      <c r="N175" s="6">
        <f t="shared" si="54"/>
        <v>0</v>
      </c>
      <c r="O175" s="11"/>
      <c r="P175" s="7">
        <v>-22.49</v>
      </c>
      <c r="Q175" s="2"/>
      <c r="R175" s="6">
        <f t="shared" si="55"/>
        <v>-4.2098088778965393E-6</v>
      </c>
      <c r="S175" s="2"/>
      <c r="T175" s="7"/>
      <c r="U175" s="2"/>
      <c r="V175" s="6">
        <f t="shared" si="56"/>
        <v>0</v>
      </c>
      <c r="W175" s="2"/>
      <c r="X175" s="7">
        <f t="shared" si="57"/>
        <v>-22.49</v>
      </c>
      <c r="Y175" s="2"/>
      <c r="Z175" s="6">
        <f t="shared" si="58"/>
        <v>0</v>
      </c>
    </row>
    <row r="176" spans="1:26" s="27" customFormat="1" outlineLevel="1" collapsed="1" x14ac:dyDescent="0.25">
      <c r="A176" s="29"/>
      <c r="B176" s="14" t="str">
        <f>CONCATENATE("     ","Donations                                         ")</f>
        <v xml:space="preserve">     Donations                                         </v>
      </c>
      <c r="C176" s="14"/>
      <c r="D176" s="1">
        <f>SUM(OSRRefD22_7x_0)</f>
        <v>9653.6200000000008</v>
      </c>
      <c r="E176" s="1"/>
      <c r="F176" s="5">
        <f t="shared" ref="F176:F184" si="59">IF(D$12=0,0,D176/D$12)</f>
        <v>4.1086175683060933E-3</v>
      </c>
      <c r="G176" s="1"/>
      <c r="H176" s="1">
        <f>SUM(OSRRefH22_7x_0)</f>
        <v>8888.07</v>
      </c>
      <c r="I176" s="1"/>
      <c r="J176" s="5">
        <f t="shared" ref="J176:J184" si="60">IF(H$12=0,0,H176/H$12)</f>
        <v>9.9219743555375058E-3</v>
      </c>
      <c r="K176" s="1"/>
      <c r="L176" s="1">
        <f t="shared" ref="L176:L184" si="61">+D176-H176</f>
        <v>765.55000000000109</v>
      </c>
      <c r="M176" s="1"/>
      <c r="N176" s="5">
        <f t="shared" ref="N176:N184" si="62">IF(H176=0,0,L176/H176)</f>
        <v>8.6132309939053256E-2</v>
      </c>
      <c r="O176" s="14"/>
      <c r="P176" s="1">
        <f>SUM(OSRRefP22_7x_0)</f>
        <v>13915.18</v>
      </c>
      <c r="Q176" s="1"/>
      <c r="R176" s="5">
        <f t="shared" ref="R176:R184" si="63">IF(P$12=0,0,P176/P$12)</f>
        <v>2.6047242463996608E-3</v>
      </c>
      <c r="S176" s="1"/>
      <c r="T176" s="1">
        <f>SUM(OSRRefT22_7x_0)</f>
        <v>11110.09</v>
      </c>
      <c r="U176" s="1"/>
      <c r="V176" s="5">
        <f t="shared" ref="V176:V184" si="64">IF(T$12=0,0,T176/T$12)</f>
        <v>3.1001756786401906E-3</v>
      </c>
      <c r="W176" s="1"/>
      <c r="X176" s="1">
        <f t="shared" ref="X176:X184" si="65">+P176-T176</f>
        <v>2805.09</v>
      </c>
      <c r="Y176" s="1"/>
      <c r="Z176" s="5">
        <f t="shared" ref="Z176:Z184" si="66">IF(T176=0,0,X176/T176)</f>
        <v>0.25248130303174865</v>
      </c>
    </row>
    <row r="177" spans="1:26" s="24" customFormat="1" hidden="1" outlineLevel="2" x14ac:dyDescent="0.25">
      <c r="A177" s="28"/>
      <c r="B177" s="11" t="str">
        <f>CONCATENATE("          ", "6399", " - ", "DONATION-ON CAMPUS")</f>
        <v xml:space="preserve">          6399 - DONATION-ON CAMPUS</v>
      </c>
      <c r="C177" s="11"/>
      <c r="D177" s="7">
        <v>9653.6200000000008</v>
      </c>
      <c r="E177" s="2"/>
      <c r="F177" s="6">
        <f t="shared" si="59"/>
        <v>4.1086175683060933E-3</v>
      </c>
      <c r="G177" s="2"/>
      <c r="H177" s="7">
        <v>8888.07</v>
      </c>
      <c r="I177" s="2"/>
      <c r="J177" s="6">
        <f t="shared" si="60"/>
        <v>9.9219743555375058E-3</v>
      </c>
      <c r="K177" s="2"/>
      <c r="L177" s="7">
        <f t="shared" si="61"/>
        <v>765.55000000000109</v>
      </c>
      <c r="M177" s="2"/>
      <c r="N177" s="6">
        <f t="shared" si="62"/>
        <v>8.6132309939053256E-2</v>
      </c>
      <c r="O177" s="11"/>
      <c r="P177" s="7">
        <v>13915.18</v>
      </c>
      <c r="Q177" s="2"/>
      <c r="R177" s="6">
        <f t="shared" si="63"/>
        <v>2.6047242463996608E-3</v>
      </c>
      <c r="S177" s="2"/>
      <c r="T177" s="7">
        <v>11110.09</v>
      </c>
      <c r="U177" s="2"/>
      <c r="V177" s="6">
        <f t="shared" si="64"/>
        <v>3.1001756786401906E-3</v>
      </c>
      <c r="W177" s="2"/>
      <c r="X177" s="7">
        <f t="shared" si="65"/>
        <v>2805.09</v>
      </c>
      <c r="Y177" s="2"/>
      <c r="Z177" s="6">
        <f t="shared" si="66"/>
        <v>0.25248130303174865</v>
      </c>
    </row>
    <row r="178" spans="1:26" s="27" customFormat="1" outlineLevel="1" collapsed="1" x14ac:dyDescent="0.25">
      <c r="A178" s="29"/>
      <c r="B178" s="14" t="str">
        <f>CONCATENATE("     ","Employees' Appreciation                           ")</f>
        <v xml:space="preserve">     Employees' Appreciation                           </v>
      </c>
      <c r="C178" s="14"/>
      <c r="D178" s="1">
        <f>SUM(OSRRefD22_8x_0)</f>
        <v>461.76</v>
      </c>
      <c r="E178" s="1"/>
      <c r="F178" s="5">
        <f t="shared" si="59"/>
        <v>1.9652682085487323E-4</v>
      </c>
      <c r="G178" s="1"/>
      <c r="H178" s="1">
        <f>SUM(OSRRefH22_8x_0)</f>
        <v>0</v>
      </c>
      <c r="I178" s="1"/>
      <c r="J178" s="5">
        <f t="shared" si="60"/>
        <v>0</v>
      </c>
      <c r="K178" s="1"/>
      <c r="L178" s="1">
        <f t="shared" si="61"/>
        <v>461.76</v>
      </c>
      <c r="M178" s="1"/>
      <c r="N178" s="5">
        <f t="shared" si="62"/>
        <v>0</v>
      </c>
      <c r="O178" s="14"/>
      <c r="P178" s="1">
        <f>SUM(OSRRefP22_8x_0)</f>
        <v>1417.12</v>
      </c>
      <c r="Q178" s="1"/>
      <c r="R178" s="5">
        <f t="shared" si="63"/>
        <v>2.6526475576010421E-4</v>
      </c>
      <c r="S178" s="1"/>
      <c r="T178" s="1">
        <f>SUM(OSRRefT22_8x_0)</f>
        <v>107.7</v>
      </c>
      <c r="U178" s="1"/>
      <c r="V178" s="5">
        <f t="shared" si="64"/>
        <v>3.0052764702135493E-5</v>
      </c>
      <c r="W178" s="1"/>
      <c r="X178" s="1">
        <f t="shared" si="65"/>
        <v>1309.4199999999998</v>
      </c>
      <c r="Y178" s="1"/>
      <c r="Z178" s="5">
        <f t="shared" si="66"/>
        <v>12.158031569173628</v>
      </c>
    </row>
    <row r="179" spans="1:26" s="24" customFormat="1" hidden="1" outlineLevel="2" x14ac:dyDescent="0.25">
      <c r="A179" s="28"/>
      <c r="B179" s="11" t="str">
        <f>CONCATENATE("          ", "6277", " - ", "EMPLOYEE APPRECIATION")</f>
        <v xml:space="preserve">          6277 - EMPLOYEE APPRECIATION</v>
      </c>
      <c r="C179" s="11"/>
      <c r="D179" s="7">
        <v>461.76</v>
      </c>
      <c r="E179" s="2"/>
      <c r="F179" s="6">
        <f t="shared" si="59"/>
        <v>1.9652682085487323E-4</v>
      </c>
      <c r="G179" s="2"/>
      <c r="H179" s="7"/>
      <c r="I179" s="2"/>
      <c r="J179" s="6">
        <f t="shared" si="60"/>
        <v>0</v>
      </c>
      <c r="K179" s="2"/>
      <c r="L179" s="7">
        <f t="shared" si="61"/>
        <v>461.76</v>
      </c>
      <c r="M179" s="2"/>
      <c r="N179" s="6">
        <f t="shared" si="62"/>
        <v>0</v>
      </c>
      <c r="O179" s="11"/>
      <c r="P179" s="7">
        <v>1417.12</v>
      </c>
      <c r="Q179" s="2"/>
      <c r="R179" s="6">
        <f t="shared" si="63"/>
        <v>2.6526475576010421E-4</v>
      </c>
      <c r="S179" s="2"/>
      <c r="T179" s="7">
        <v>107.7</v>
      </c>
      <c r="U179" s="2"/>
      <c r="V179" s="6">
        <f t="shared" si="64"/>
        <v>3.0052764702135493E-5</v>
      </c>
      <c r="W179" s="2"/>
      <c r="X179" s="7">
        <f t="shared" si="65"/>
        <v>1309.4199999999998</v>
      </c>
      <c r="Y179" s="2"/>
      <c r="Z179" s="6">
        <f t="shared" si="66"/>
        <v>12.158031569173628</v>
      </c>
    </row>
    <row r="180" spans="1:26" s="27" customFormat="1" outlineLevel="1" collapsed="1" x14ac:dyDescent="0.25">
      <c r="A180" s="29"/>
      <c r="B180" s="14" t="str">
        <f>CONCATENATE("     ","Equipment Rental                                  ")</f>
        <v xml:space="preserve">     Equipment Rental                                  </v>
      </c>
      <c r="C180" s="14"/>
      <c r="D180" s="1">
        <f>SUM(OSRRefD22_9x_0)</f>
        <v>1799.62</v>
      </c>
      <c r="E180" s="1"/>
      <c r="F180" s="5">
        <f t="shared" si="59"/>
        <v>7.6592515017941565E-4</v>
      </c>
      <c r="G180" s="1"/>
      <c r="H180" s="1">
        <f>SUM(OSRRefH22_9x_0)</f>
        <v>2597.83</v>
      </c>
      <c r="I180" s="1"/>
      <c r="J180" s="5">
        <f t="shared" si="60"/>
        <v>2.9000224615744474E-3</v>
      </c>
      <c r="K180" s="1"/>
      <c r="L180" s="1">
        <f t="shared" si="61"/>
        <v>-798.21</v>
      </c>
      <c r="M180" s="1"/>
      <c r="N180" s="5">
        <f t="shared" si="62"/>
        <v>-0.30726029031922797</v>
      </c>
      <c r="O180" s="14"/>
      <c r="P180" s="1">
        <f>SUM(OSRRefP22_9x_0)</f>
        <v>12089.09</v>
      </c>
      <c r="Q180" s="1"/>
      <c r="R180" s="5">
        <f t="shared" si="63"/>
        <v>2.2629061097238896E-3</v>
      </c>
      <c r="S180" s="1"/>
      <c r="T180" s="1">
        <f>SUM(OSRRefT22_9x_0)</f>
        <v>7463.66</v>
      </c>
      <c r="U180" s="1"/>
      <c r="V180" s="5">
        <f t="shared" si="64"/>
        <v>2.082670545930739E-3</v>
      </c>
      <c r="W180" s="1"/>
      <c r="X180" s="1">
        <f t="shared" si="65"/>
        <v>4625.43</v>
      </c>
      <c r="Y180" s="1"/>
      <c r="Z180" s="5">
        <f t="shared" si="66"/>
        <v>0.61972678283844662</v>
      </c>
    </row>
    <row r="181" spans="1:26" s="24" customFormat="1" hidden="1" outlineLevel="2" x14ac:dyDescent="0.25">
      <c r="A181" s="28"/>
      <c r="B181" s="11" t="str">
        <f>CONCATENATE("          ", "6351", " - ", "EQUIPMENT RENTAL")</f>
        <v xml:space="preserve">          6351 - EQUIPMENT RENTAL</v>
      </c>
      <c r="C181" s="11"/>
      <c r="D181" s="7">
        <v>1799.62</v>
      </c>
      <c r="E181" s="2"/>
      <c r="F181" s="6">
        <f t="shared" si="59"/>
        <v>7.6592515017941565E-4</v>
      </c>
      <c r="G181" s="2"/>
      <c r="H181" s="7">
        <v>2597.83</v>
      </c>
      <c r="I181" s="2"/>
      <c r="J181" s="6">
        <f t="shared" si="60"/>
        <v>2.9000224615744474E-3</v>
      </c>
      <c r="K181" s="2"/>
      <c r="L181" s="7">
        <f t="shared" si="61"/>
        <v>-798.21</v>
      </c>
      <c r="M181" s="2"/>
      <c r="N181" s="6">
        <f t="shared" si="62"/>
        <v>-0.30726029031922797</v>
      </c>
      <c r="O181" s="11"/>
      <c r="P181" s="7">
        <v>12089.09</v>
      </c>
      <c r="Q181" s="2"/>
      <c r="R181" s="6">
        <f t="shared" si="63"/>
        <v>2.2629061097238896E-3</v>
      </c>
      <c r="S181" s="2"/>
      <c r="T181" s="7">
        <v>7463.66</v>
      </c>
      <c r="U181" s="2"/>
      <c r="V181" s="6">
        <f t="shared" si="64"/>
        <v>2.082670545930739E-3</v>
      </c>
      <c r="W181" s="2"/>
      <c r="X181" s="7">
        <f t="shared" si="65"/>
        <v>4625.43</v>
      </c>
      <c r="Y181" s="2"/>
      <c r="Z181" s="6">
        <f t="shared" si="66"/>
        <v>0.61972678283844662</v>
      </c>
    </row>
    <row r="182" spans="1:26" s="27" customFormat="1" outlineLevel="1" collapsed="1" x14ac:dyDescent="0.25">
      <c r="A182" s="29"/>
      <c r="B182" s="14" t="str">
        <f>CONCATENATE("     ","Freight out/Postage                               ")</f>
        <v xml:space="preserve">     Freight out/Postage                               </v>
      </c>
      <c r="C182" s="14"/>
      <c r="D182" s="1">
        <f>SUM(OSRRefD22_10x_0)</f>
        <v>3676.619999999999</v>
      </c>
      <c r="E182" s="1"/>
      <c r="F182" s="5">
        <f t="shared" si="59"/>
        <v>1.5647835241065573E-3</v>
      </c>
      <c r="G182" s="1"/>
      <c r="H182" s="1">
        <f>SUM(OSRRefH22_10x_0)</f>
        <v>-5850.9800000000005</v>
      </c>
      <c r="I182" s="1"/>
      <c r="J182" s="5">
        <f t="shared" si="60"/>
        <v>-6.5315949935996053E-3</v>
      </c>
      <c r="K182" s="1"/>
      <c r="L182" s="1">
        <f t="shared" si="61"/>
        <v>9527.5999999999985</v>
      </c>
      <c r="M182" s="1"/>
      <c r="N182" s="5">
        <f t="shared" si="62"/>
        <v>-1.628376784743752</v>
      </c>
      <c r="O182" s="14"/>
      <c r="P182" s="1">
        <f>SUM(OSRRefP22_10x_0)</f>
        <v>-12013.119999999999</v>
      </c>
      <c r="Q182" s="1"/>
      <c r="R182" s="5">
        <f t="shared" si="63"/>
        <v>-2.2486856037010434E-3</v>
      </c>
      <c r="S182" s="1"/>
      <c r="T182" s="1">
        <f>SUM(OSRRefT22_10x_0)</f>
        <v>-80468.87000000001</v>
      </c>
      <c r="U182" s="1"/>
      <c r="V182" s="5">
        <f t="shared" si="64"/>
        <v>-2.2454150565986351E-2</v>
      </c>
      <c r="W182" s="1"/>
      <c r="X182" s="1">
        <f t="shared" si="65"/>
        <v>68455.750000000015</v>
      </c>
      <c r="Y182" s="1"/>
      <c r="Z182" s="5">
        <f t="shared" si="66"/>
        <v>-0.85071096437665905</v>
      </c>
    </row>
    <row r="183" spans="1:26" s="24" customFormat="1" hidden="1" outlineLevel="2" x14ac:dyDescent="0.25">
      <c r="A183" s="28"/>
      <c r="B183" s="11" t="str">
        <f>CONCATENATE("          ", "6305", " - ", "FREIGHT OUT")</f>
        <v xml:space="preserve">          6305 - FREIGHT OUT</v>
      </c>
      <c r="C183" s="11"/>
      <c r="D183" s="7">
        <v>13314.15</v>
      </c>
      <c r="E183" s="2"/>
      <c r="F183" s="6">
        <f t="shared" si="59"/>
        <v>5.6665531269163866E-3</v>
      </c>
      <c r="G183" s="2"/>
      <c r="H183" s="7">
        <v>5418.22</v>
      </c>
      <c r="I183" s="2"/>
      <c r="J183" s="6">
        <f t="shared" si="60"/>
        <v>6.0484942054529756E-3</v>
      </c>
      <c r="K183" s="2"/>
      <c r="L183" s="7">
        <f t="shared" si="61"/>
        <v>7895.9299999999994</v>
      </c>
      <c r="M183" s="2"/>
      <c r="N183" s="6">
        <f t="shared" si="62"/>
        <v>1.4572922472693983</v>
      </c>
      <c r="O183" s="11"/>
      <c r="P183" s="7">
        <v>28696.49</v>
      </c>
      <c r="Q183" s="2"/>
      <c r="R183" s="6">
        <f t="shared" si="63"/>
        <v>5.3715757388381174E-3</v>
      </c>
      <c r="S183" s="2"/>
      <c r="T183" s="7">
        <v>25933.01</v>
      </c>
      <c r="U183" s="2"/>
      <c r="V183" s="6">
        <f t="shared" si="64"/>
        <v>7.2363848426009909E-3</v>
      </c>
      <c r="W183" s="2"/>
      <c r="X183" s="7">
        <f t="shared" si="65"/>
        <v>2763.4800000000032</v>
      </c>
      <c r="Y183" s="2"/>
      <c r="Z183" s="6">
        <f t="shared" si="66"/>
        <v>0.10656225405381031</v>
      </c>
    </row>
    <row r="184" spans="1:26" s="24" customFormat="1" hidden="1" outlineLevel="2" x14ac:dyDescent="0.25">
      <c r="A184" s="28"/>
      <c r="B184" s="11" t="str">
        <f>CONCATENATE("          ", "6307", " - ", "POSTAGE")</f>
        <v xml:space="preserve">          6307 - POSTAGE</v>
      </c>
      <c r="C184" s="11"/>
      <c r="D184" s="7">
        <v>-9637.5300000000007</v>
      </c>
      <c r="E184" s="2"/>
      <c r="F184" s="6">
        <f t="shared" si="59"/>
        <v>-4.1017696028098289E-3</v>
      </c>
      <c r="G184" s="2"/>
      <c r="H184" s="7">
        <v>-11269.2</v>
      </c>
      <c r="I184" s="2"/>
      <c r="J184" s="6">
        <f t="shared" si="60"/>
        <v>-1.2580089199052581E-2</v>
      </c>
      <c r="K184" s="2"/>
      <c r="L184" s="7">
        <f t="shared" si="61"/>
        <v>1631.67</v>
      </c>
      <c r="M184" s="2"/>
      <c r="N184" s="6">
        <f t="shared" si="62"/>
        <v>-0.14479022468320732</v>
      </c>
      <c r="O184" s="11"/>
      <c r="P184" s="7">
        <v>-40709.61</v>
      </c>
      <c r="Q184" s="2"/>
      <c r="R184" s="6">
        <f t="shared" si="63"/>
        <v>-7.6202613425391608E-3</v>
      </c>
      <c r="S184" s="2"/>
      <c r="T184" s="7">
        <v>-106401.88</v>
      </c>
      <c r="U184" s="2"/>
      <c r="V184" s="6">
        <f t="shared" si="64"/>
        <v>-2.9690535408587342E-2</v>
      </c>
      <c r="W184" s="2"/>
      <c r="X184" s="7">
        <f t="shared" si="65"/>
        <v>65692.27</v>
      </c>
      <c r="Y184" s="2"/>
      <c r="Z184" s="6">
        <f t="shared" si="66"/>
        <v>-0.61739764372584394</v>
      </c>
    </row>
    <row r="185" spans="1:26" s="27" customFormat="1" outlineLevel="1" collapsed="1" x14ac:dyDescent="0.25">
      <c r="A185" s="29"/>
      <c r="B185" s="14" t="str">
        <f>CONCATENATE("     ","General                                           ")</f>
        <v xml:space="preserve">     General                                           </v>
      </c>
      <c r="C185" s="14"/>
      <c r="D185" s="1">
        <f>SUM(OSRRefD22_11x_0)</f>
        <v>5364.31</v>
      </c>
      <c r="E185" s="1"/>
      <c r="F185" s="5">
        <f t="shared" ref="F185:F193" si="67">IF(D$12=0,0,D185/D$12)</f>
        <v>2.2830708384875371E-3</v>
      </c>
      <c r="G185" s="1"/>
      <c r="H185" s="1">
        <f>SUM(OSRRefH22_11x_0)</f>
        <v>552.16999999999996</v>
      </c>
      <c r="I185" s="1"/>
      <c r="J185" s="5">
        <f t="shared" ref="J185:J193" si="68">IF(H$12=0,0,H185/H$12)</f>
        <v>6.1640115119448253E-4</v>
      </c>
      <c r="K185" s="1"/>
      <c r="L185" s="1">
        <f t="shared" ref="L185:L193" si="69">+D185-H185</f>
        <v>4812.1400000000003</v>
      </c>
      <c r="M185" s="1"/>
      <c r="N185" s="5">
        <f t="shared" ref="N185:N193" si="70">IF(H185=0,0,L185/H185)</f>
        <v>8.7149609721643717</v>
      </c>
      <c r="O185" s="14"/>
      <c r="P185" s="1">
        <f>SUM(OSRRefP22_11x_0)</f>
        <v>26675.91</v>
      </c>
      <c r="Q185" s="1"/>
      <c r="R185" s="5">
        <f t="shared" ref="R185:R193" si="71">IF(P$12=0,0,P185/P$12)</f>
        <v>4.9933518338803502E-3</v>
      </c>
      <c r="S185" s="1"/>
      <c r="T185" s="1">
        <f>SUM(OSRRefT22_11x_0)</f>
        <v>8419.52</v>
      </c>
      <c r="U185" s="1"/>
      <c r="V185" s="5">
        <f t="shared" ref="V185:V193" si="72">IF(T$12=0,0,T185/T$12)</f>
        <v>2.349395111094929E-3</v>
      </c>
      <c r="W185" s="1"/>
      <c r="X185" s="1">
        <f t="shared" ref="X185:X193" si="73">+P185-T185</f>
        <v>18256.39</v>
      </c>
      <c r="Y185" s="1"/>
      <c r="Z185" s="5">
        <f t="shared" ref="Z185:Z193" si="74">IF(T185=0,0,X185/T185)</f>
        <v>2.1683409505530005</v>
      </c>
    </row>
    <row r="186" spans="1:26" s="24" customFormat="1" hidden="1" outlineLevel="2" x14ac:dyDescent="0.25">
      <c r="A186" s="28"/>
      <c r="B186" s="11" t="str">
        <f>CONCATENATE("          ", "6279", " - ", "GENERAL EXPENSE")</f>
        <v xml:space="preserve">          6279 - GENERAL EXPENSE</v>
      </c>
      <c r="C186" s="11"/>
      <c r="D186" s="7">
        <v>5364.31</v>
      </c>
      <c r="E186" s="2"/>
      <c r="F186" s="6">
        <f t="shared" si="67"/>
        <v>2.2830708384875371E-3</v>
      </c>
      <c r="G186" s="2"/>
      <c r="H186" s="7">
        <v>552.16999999999996</v>
      </c>
      <c r="I186" s="2"/>
      <c r="J186" s="6">
        <f t="shared" si="68"/>
        <v>6.1640115119448253E-4</v>
      </c>
      <c r="K186" s="2"/>
      <c r="L186" s="7">
        <f t="shared" si="69"/>
        <v>4812.1400000000003</v>
      </c>
      <c r="M186" s="2"/>
      <c r="N186" s="6">
        <f t="shared" si="70"/>
        <v>8.7149609721643717</v>
      </c>
      <c r="O186" s="11"/>
      <c r="P186" s="7">
        <v>26675.91</v>
      </c>
      <c r="Q186" s="2"/>
      <c r="R186" s="6">
        <f t="shared" si="71"/>
        <v>4.9933518338803502E-3</v>
      </c>
      <c r="S186" s="2"/>
      <c r="T186" s="7">
        <v>8419.52</v>
      </c>
      <c r="U186" s="2"/>
      <c r="V186" s="6">
        <f t="shared" si="72"/>
        <v>2.349395111094929E-3</v>
      </c>
      <c r="W186" s="2"/>
      <c r="X186" s="7">
        <f t="shared" si="73"/>
        <v>18256.39</v>
      </c>
      <c r="Y186" s="2"/>
      <c r="Z186" s="6">
        <f t="shared" si="74"/>
        <v>2.1683409505530005</v>
      </c>
    </row>
    <row r="187" spans="1:26" s="27" customFormat="1" outlineLevel="1" collapsed="1" x14ac:dyDescent="0.25">
      <c r="A187" s="29"/>
      <c r="B187" s="14" t="str">
        <f>CONCATENATE("     ","Insurance                                         ")</f>
        <v xml:space="preserve">     Insurance                                         </v>
      </c>
      <c r="C187" s="14"/>
      <c r="D187" s="1">
        <f>SUM(OSRRefD22_12x_0)</f>
        <v>11626.43</v>
      </c>
      <c r="E187" s="1"/>
      <c r="F187" s="5">
        <f t="shared" si="67"/>
        <v>4.9482530444207471E-3</v>
      </c>
      <c r="G187" s="1"/>
      <c r="H187" s="1">
        <f>SUM(OSRRefH22_12x_0)</f>
        <v>8563.32</v>
      </c>
      <c r="I187" s="1"/>
      <c r="J187" s="5">
        <f t="shared" si="68"/>
        <v>9.5594478259353761E-3</v>
      </c>
      <c r="K187" s="1"/>
      <c r="L187" s="1">
        <f t="shared" si="69"/>
        <v>3063.1100000000006</v>
      </c>
      <c r="M187" s="1"/>
      <c r="N187" s="5">
        <f t="shared" si="70"/>
        <v>0.35770121868621058</v>
      </c>
      <c r="O187" s="14"/>
      <c r="P187" s="1">
        <f>SUM(OSRRefP22_12x_0)</f>
        <v>34879.300000000003</v>
      </c>
      <c r="Q187" s="1"/>
      <c r="R187" s="5">
        <f t="shared" si="71"/>
        <v>6.5289100397873173E-3</v>
      </c>
      <c r="S187" s="1"/>
      <c r="T187" s="1">
        <f>SUM(OSRRefT22_12x_0)</f>
        <v>25689.96</v>
      </c>
      <c r="U187" s="1"/>
      <c r="V187" s="5">
        <f t="shared" si="72"/>
        <v>7.1685638169663203E-3</v>
      </c>
      <c r="W187" s="1"/>
      <c r="X187" s="1">
        <f t="shared" si="73"/>
        <v>9189.3400000000038</v>
      </c>
      <c r="Y187" s="1"/>
      <c r="Z187" s="5">
        <f t="shared" si="74"/>
        <v>0.35770160794333677</v>
      </c>
    </row>
    <row r="188" spans="1:26" s="24" customFormat="1" hidden="1" outlineLevel="2" x14ac:dyDescent="0.25">
      <c r="A188" s="28"/>
      <c r="B188" s="11" t="str">
        <f>CONCATENATE("          ", "6314", " - ", "LIABILITY INSURANCE")</f>
        <v xml:space="preserve">          6314 - LIABILITY INSURANCE</v>
      </c>
      <c r="C188" s="11"/>
      <c r="D188" s="7">
        <v>11626.43</v>
      </c>
      <c r="E188" s="2"/>
      <c r="F188" s="6">
        <f t="shared" si="67"/>
        <v>4.9482530444207471E-3</v>
      </c>
      <c r="G188" s="2"/>
      <c r="H188" s="7">
        <v>8563.32</v>
      </c>
      <c r="I188" s="2"/>
      <c r="J188" s="6">
        <f t="shared" si="68"/>
        <v>9.5594478259353761E-3</v>
      </c>
      <c r="K188" s="2"/>
      <c r="L188" s="7">
        <f t="shared" si="69"/>
        <v>3063.1100000000006</v>
      </c>
      <c r="M188" s="2"/>
      <c r="N188" s="6">
        <f t="shared" si="70"/>
        <v>0.35770121868621058</v>
      </c>
      <c r="O188" s="11"/>
      <c r="P188" s="7">
        <v>34879.300000000003</v>
      </c>
      <c r="Q188" s="2"/>
      <c r="R188" s="6">
        <f t="shared" si="71"/>
        <v>6.5289100397873173E-3</v>
      </c>
      <c r="S188" s="2"/>
      <c r="T188" s="7">
        <v>25689.96</v>
      </c>
      <c r="U188" s="2"/>
      <c r="V188" s="6">
        <f t="shared" si="72"/>
        <v>7.1685638169663203E-3</v>
      </c>
      <c r="W188" s="2"/>
      <c r="X188" s="7">
        <f t="shared" si="73"/>
        <v>9189.3400000000038</v>
      </c>
      <c r="Y188" s="2"/>
      <c r="Z188" s="6">
        <f t="shared" si="74"/>
        <v>0.35770160794333677</v>
      </c>
    </row>
    <row r="189" spans="1:26" s="27" customFormat="1" outlineLevel="1" collapsed="1" x14ac:dyDescent="0.25">
      <c r="A189" s="29"/>
      <c r="B189" s="14" t="str">
        <f>CONCATENATE("     ","Interest                                          ")</f>
        <v xml:space="preserve">     Interest                                          </v>
      </c>
      <c r="C189" s="14"/>
      <c r="D189" s="1">
        <f>SUM(OSRRefD22_13x_0)</f>
        <v>11158</v>
      </c>
      <c r="E189" s="1"/>
      <c r="F189" s="5">
        <f t="shared" si="67"/>
        <v>4.7488874460730156E-3</v>
      </c>
      <c r="G189" s="1"/>
      <c r="H189" s="1">
        <f>SUM(OSRRefH22_13x_0)</f>
        <v>11554</v>
      </c>
      <c r="I189" s="1"/>
      <c r="J189" s="5">
        <f t="shared" si="68"/>
        <v>1.289801854664515E-2</v>
      </c>
      <c r="K189" s="1"/>
      <c r="L189" s="1">
        <f t="shared" si="69"/>
        <v>-396</v>
      </c>
      <c r="M189" s="1"/>
      <c r="N189" s="5">
        <f t="shared" si="70"/>
        <v>-3.4273844555997926E-2</v>
      </c>
      <c r="O189" s="14"/>
      <c r="P189" s="1">
        <f>SUM(OSRRefP22_13x_0)</f>
        <v>33474</v>
      </c>
      <c r="Q189" s="1"/>
      <c r="R189" s="5">
        <f t="shared" si="71"/>
        <v>6.2658578203071925E-3</v>
      </c>
      <c r="S189" s="1"/>
      <c r="T189" s="1">
        <f>SUM(OSRRefT22_13x_0)</f>
        <v>34662</v>
      </c>
      <c r="U189" s="1"/>
      <c r="V189" s="5">
        <f t="shared" si="72"/>
        <v>9.6721349127708491E-3</v>
      </c>
      <c r="W189" s="1"/>
      <c r="X189" s="1">
        <f t="shared" si="73"/>
        <v>-1188</v>
      </c>
      <c r="Y189" s="1"/>
      <c r="Z189" s="5">
        <f t="shared" si="74"/>
        <v>-3.4273844555997926E-2</v>
      </c>
    </row>
    <row r="190" spans="1:26" s="24" customFormat="1" hidden="1" outlineLevel="2" x14ac:dyDescent="0.25">
      <c r="A190" s="28"/>
      <c r="B190" s="11" t="str">
        <f>CONCATENATE("          ", "6401", " - ", "INTEREST EXPENSE")</f>
        <v xml:space="preserve">          6401 - INTEREST EXPENSE</v>
      </c>
      <c r="C190" s="11"/>
      <c r="D190" s="7">
        <v>11158</v>
      </c>
      <c r="E190" s="2"/>
      <c r="F190" s="6">
        <f t="shared" si="67"/>
        <v>4.7488874460730156E-3</v>
      </c>
      <c r="G190" s="2"/>
      <c r="H190" s="7">
        <v>11554</v>
      </c>
      <c r="I190" s="2"/>
      <c r="J190" s="6">
        <f t="shared" si="68"/>
        <v>1.289801854664515E-2</v>
      </c>
      <c r="K190" s="2"/>
      <c r="L190" s="7">
        <f t="shared" si="69"/>
        <v>-396</v>
      </c>
      <c r="M190" s="2"/>
      <c r="N190" s="6">
        <f t="shared" si="70"/>
        <v>-3.4273844555997926E-2</v>
      </c>
      <c r="O190" s="11"/>
      <c r="P190" s="7">
        <v>33474</v>
      </c>
      <c r="Q190" s="2"/>
      <c r="R190" s="6">
        <f t="shared" si="71"/>
        <v>6.2658578203071925E-3</v>
      </c>
      <c r="S190" s="2"/>
      <c r="T190" s="7">
        <v>34662</v>
      </c>
      <c r="U190" s="2"/>
      <c r="V190" s="6">
        <f t="shared" si="72"/>
        <v>9.6721349127708491E-3</v>
      </c>
      <c r="W190" s="2"/>
      <c r="X190" s="7">
        <f t="shared" si="73"/>
        <v>-1188</v>
      </c>
      <c r="Y190" s="2"/>
      <c r="Z190" s="6">
        <f t="shared" si="74"/>
        <v>-3.4273844555997926E-2</v>
      </c>
    </row>
    <row r="191" spans="1:26" s="27" customFormat="1" outlineLevel="1" collapsed="1" x14ac:dyDescent="0.25">
      <c r="A191" s="29"/>
      <c r="B191" s="14" t="str">
        <f>CONCATENATE("     ","Inventory Adjustment                              ")</f>
        <v xml:space="preserve">     Inventory Adjustment                              </v>
      </c>
      <c r="C191" s="14"/>
      <c r="D191" s="1">
        <f>SUM(OSRRefD22_14x_0)</f>
        <v>5690</v>
      </c>
      <c r="E191" s="1"/>
      <c r="F191" s="5">
        <f t="shared" si="67"/>
        <v>2.4216857472804678E-3</v>
      </c>
      <c r="G191" s="1"/>
      <c r="H191" s="1">
        <f>SUM(OSRRefH22_14x_0)</f>
        <v>3350</v>
      </c>
      <c r="I191" s="1"/>
      <c r="J191" s="5">
        <f t="shared" si="68"/>
        <v>3.7396886040558463E-3</v>
      </c>
      <c r="K191" s="1"/>
      <c r="L191" s="1">
        <f t="shared" si="69"/>
        <v>2340</v>
      </c>
      <c r="M191" s="1"/>
      <c r="N191" s="5">
        <f t="shared" si="70"/>
        <v>0.69850746268656716</v>
      </c>
      <c r="O191" s="14"/>
      <c r="P191" s="1">
        <f>SUM(OSRRefP22_14x_0)</f>
        <v>19380</v>
      </c>
      <c r="Q191" s="1"/>
      <c r="R191" s="5">
        <f t="shared" si="71"/>
        <v>3.6276610072758972E-3</v>
      </c>
      <c r="S191" s="1"/>
      <c r="T191" s="1">
        <f>SUM(OSRRefT22_14x_0)</f>
        <v>10050</v>
      </c>
      <c r="U191" s="1"/>
      <c r="V191" s="5">
        <f t="shared" si="72"/>
        <v>2.8043666226226713E-3</v>
      </c>
      <c r="W191" s="1"/>
      <c r="X191" s="1">
        <f t="shared" si="73"/>
        <v>9330</v>
      </c>
      <c r="Y191" s="1"/>
      <c r="Z191" s="5">
        <f t="shared" si="74"/>
        <v>0.92835820895522392</v>
      </c>
    </row>
    <row r="192" spans="1:26" s="24" customFormat="1" hidden="1" outlineLevel="2" x14ac:dyDescent="0.25">
      <c r="A192" s="28"/>
      <c r="B192" s="11" t="str">
        <f>CONCATENATE("          ", "6408", " - ", "INVENTORY ADJUSTMENT")</f>
        <v xml:space="preserve">          6408 - INVENTORY ADJUSTMENT</v>
      </c>
      <c r="C192" s="11"/>
      <c r="D192" s="7">
        <v>5690</v>
      </c>
      <c r="E192" s="2"/>
      <c r="F192" s="6">
        <f t="shared" si="67"/>
        <v>2.4216857472804678E-3</v>
      </c>
      <c r="G192" s="2"/>
      <c r="H192" s="7">
        <v>3350</v>
      </c>
      <c r="I192" s="2"/>
      <c r="J192" s="6">
        <f t="shared" si="68"/>
        <v>3.7396886040558463E-3</v>
      </c>
      <c r="K192" s="2"/>
      <c r="L192" s="7">
        <f t="shared" si="69"/>
        <v>2340</v>
      </c>
      <c r="M192" s="2"/>
      <c r="N192" s="6">
        <f t="shared" si="70"/>
        <v>0.69850746268656716</v>
      </c>
      <c r="O192" s="11"/>
      <c r="P192" s="7">
        <v>19380</v>
      </c>
      <c r="Q192" s="2"/>
      <c r="R192" s="6">
        <f t="shared" si="71"/>
        <v>3.6276610072758972E-3</v>
      </c>
      <c r="S192" s="2"/>
      <c r="T192" s="7">
        <v>10050</v>
      </c>
      <c r="U192" s="2"/>
      <c r="V192" s="6">
        <f t="shared" si="72"/>
        <v>2.8043666226226713E-3</v>
      </c>
      <c r="W192" s="2"/>
      <c r="X192" s="7">
        <f t="shared" si="73"/>
        <v>9330</v>
      </c>
      <c r="Y192" s="2"/>
      <c r="Z192" s="6">
        <f t="shared" si="74"/>
        <v>0.92835820895522392</v>
      </c>
    </row>
    <row r="193" spans="1:26" s="24" customFormat="1" hidden="1" outlineLevel="2" x14ac:dyDescent="0.25">
      <c r="A193" s="28"/>
      <c r="B193" s="11" t="str">
        <f>CONCATENATE("          ", "7741", " - ", "INV. SHRINKAGE-LOGO GIFTS")</f>
        <v xml:space="preserve">          7741 - INV. SHRINKAGE-LOGO GIFTS</v>
      </c>
      <c r="C193" s="11"/>
      <c r="D193" s="7"/>
      <c r="E193" s="2"/>
      <c r="F193" s="6">
        <f t="shared" si="67"/>
        <v>0</v>
      </c>
      <c r="G193" s="2"/>
      <c r="H193" s="7"/>
      <c r="I193" s="2"/>
      <c r="J193" s="6">
        <f t="shared" si="68"/>
        <v>0</v>
      </c>
      <c r="K193" s="2"/>
      <c r="L193" s="7">
        <f t="shared" si="69"/>
        <v>0</v>
      </c>
      <c r="M193" s="2"/>
      <c r="N193" s="6">
        <f t="shared" si="70"/>
        <v>0</v>
      </c>
      <c r="O193" s="11"/>
      <c r="P193" s="7"/>
      <c r="Q193" s="2"/>
      <c r="R193" s="6">
        <f t="shared" si="71"/>
        <v>0</v>
      </c>
      <c r="S193" s="2"/>
      <c r="T193" s="7">
        <v>0</v>
      </c>
      <c r="U193" s="2"/>
      <c r="V193" s="6">
        <f t="shared" si="72"/>
        <v>0</v>
      </c>
      <c r="W193" s="2"/>
      <c r="X193" s="7">
        <f t="shared" si="73"/>
        <v>0</v>
      </c>
      <c r="Y193" s="2"/>
      <c r="Z193" s="6">
        <f t="shared" si="74"/>
        <v>0</v>
      </c>
    </row>
    <row r="194" spans="1:26" s="27" customFormat="1" outlineLevel="1" collapsed="1" x14ac:dyDescent="0.25">
      <c r="A194" s="29"/>
      <c r="B194" s="14" t="str">
        <f>CONCATENATE("     ","R/H Commissions                                   ")</f>
        <v xml:space="preserve">     R/H Commissions                                   </v>
      </c>
      <c r="C194" s="14"/>
      <c r="D194" s="1">
        <f>SUM(OSRRefD22_15x_0)</f>
        <v>102646.99</v>
      </c>
      <c r="E194" s="1"/>
      <c r="F194" s="5">
        <f t="shared" ref="F194:F202" si="75">IF(D$12=0,0,D194/D$12)</f>
        <v>4.3686951262608208E-2</v>
      </c>
      <c r="G194" s="1"/>
      <c r="H194" s="1">
        <f>SUM(OSRRefH22_15x_0)</f>
        <v>11792.03</v>
      </c>
      <c r="I194" s="1"/>
      <c r="J194" s="5">
        <f t="shared" ref="J194:J202" si="76">IF(H$12=0,0,H194/H$12)</f>
        <v>1.3163737376025273E-2</v>
      </c>
      <c r="K194" s="1"/>
      <c r="L194" s="1">
        <f t="shared" ref="L194:L202" si="77">+D194-H194</f>
        <v>90854.96</v>
      </c>
      <c r="M194" s="1"/>
      <c r="N194" s="5">
        <f t="shared" ref="N194:N202" si="78">IF(H194=0,0,L194/H194)</f>
        <v>7.7047768704794679</v>
      </c>
      <c r="O194" s="14"/>
      <c r="P194" s="1">
        <f>SUM(OSRRefP22_15x_0)</f>
        <v>142802.99</v>
      </c>
      <c r="Q194" s="1"/>
      <c r="R194" s="5">
        <f t="shared" ref="R194:R202" si="79">IF(P$12=0,0,P194/P$12)</f>
        <v>2.6730693423395763E-2</v>
      </c>
      <c r="S194" s="1"/>
      <c r="T194" s="1">
        <f>SUM(OSRRefT22_15x_0)</f>
        <v>16477.52</v>
      </c>
      <c r="U194" s="1"/>
      <c r="V194" s="5">
        <f t="shared" ref="V194:V202" si="80">IF(T$12=0,0,T194/T$12)</f>
        <v>4.5979111553828382E-3</v>
      </c>
      <c r="W194" s="1"/>
      <c r="X194" s="1">
        <f t="shared" ref="X194:X202" si="81">+P194-T194</f>
        <v>126325.46999999999</v>
      </c>
      <c r="Y194" s="1"/>
      <c r="Z194" s="5">
        <f t="shared" ref="Z194:Z202" si="82">IF(T194=0,0,X194/T194)</f>
        <v>7.6665341629080093</v>
      </c>
    </row>
    <row r="195" spans="1:26" s="24" customFormat="1" hidden="1" outlineLevel="2" x14ac:dyDescent="0.25">
      <c r="A195" s="28"/>
      <c r="B195" s="11" t="str">
        <f>CONCATENATE("          ", "6387", " - ", "COMMISSION DUE HOUSING")</f>
        <v xml:space="preserve">          6387 - COMMISSION DUE HOUSING</v>
      </c>
      <c r="C195" s="11"/>
      <c r="D195" s="7">
        <v>102646.99</v>
      </c>
      <c r="E195" s="2"/>
      <c r="F195" s="6">
        <f t="shared" si="75"/>
        <v>4.3686951262608208E-2</v>
      </c>
      <c r="G195" s="2"/>
      <c r="H195" s="7">
        <v>11792.03</v>
      </c>
      <c r="I195" s="2"/>
      <c r="J195" s="6">
        <f t="shared" si="76"/>
        <v>1.3163737376025273E-2</v>
      </c>
      <c r="K195" s="2"/>
      <c r="L195" s="7">
        <f t="shared" si="77"/>
        <v>90854.96</v>
      </c>
      <c r="M195" s="2"/>
      <c r="N195" s="6">
        <f t="shared" si="78"/>
        <v>7.7047768704794679</v>
      </c>
      <c r="O195" s="11"/>
      <c r="P195" s="7">
        <v>142802.99</v>
      </c>
      <c r="Q195" s="2"/>
      <c r="R195" s="6">
        <f t="shared" si="79"/>
        <v>2.6730693423395763E-2</v>
      </c>
      <c r="S195" s="2"/>
      <c r="T195" s="7">
        <v>16477.52</v>
      </c>
      <c r="U195" s="2"/>
      <c r="V195" s="6">
        <f t="shared" si="80"/>
        <v>4.5979111553828382E-3</v>
      </c>
      <c r="W195" s="2"/>
      <c r="X195" s="7">
        <f t="shared" si="81"/>
        <v>126325.46999999999</v>
      </c>
      <c r="Y195" s="2"/>
      <c r="Z195" s="6">
        <f t="shared" si="82"/>
        <v>7.6665341629080093</v>
      </c>
    </row>
    <row r="196" spans="1:26" s="27" customFormat="1" outlineLevel="1" collapsed="1" x14ac:dyDescent="0.25">
      <c r="A196" s="29"/>
      <c r="B196" s="14" t="str">
        <f>CONCATENATE("     ","Rent                                              ")</f>
        <v xml:space="preserve">     Rent                                              </v>
      </c>
      <c r="C196" s="14"/>
      <c r="D196" s="1">
        <f>SUM(OSRRefD22_16x_0)</f>
        <v>8750</v>
      </c>
      <c r="E196" s="1"/>
      <c r="F196" s="5">
        <f t="shared" si="75"/>
        <v>3.724033442654498E-3</v>
      </c>
      <c r="G196" s="1"/>
      <c r="H196" s="1">
        <f>SUM(OSRRefH22_16x_0)</f>
        <v>12450</v>
      </c>
      <c r="I196" s="1"/>
      <c r="J196" s="5">
        <f t="shared" si="76"/>
        <v>1.3898245707610534E-2</v>
      </c>
      <c r="K196" s="1"/>
      <c r="L196" s="1">
        <f t="shared" si="77"/>
        <v>-3700</v>
      </c>
      <c r="M196" s="1"/>
      <c r="N196" s="5">
        <f t="shared" si="78"/>
        <v>-0.2971887550200803</v>
      </c>
      <c r="O196" s="14"/>
      <c r="P196" s="1">
        <f>SUM(OSRRefP22_16x_0)</f>
        <v>26250</v>
      </c>
      <c r="Q196" s="1"/>
      <c r="R196" s="5">
        <f t="shared" si="79"/>
        <v>4.9136275253350006E-3</v>
      </c>
      <c r="S196" s="1"/>
      <c r="T196" s="1">
        <f>SUM(OSRRefT22_16x_0)</f>
        <v>26250</v>
      </c>
      <c r="U196" s="1"/>
      <c r="V196" s="5">
        <f t="shared" si="80"/>
        <v>7.3248381934174255E-3</v>
      </c>
      <c r="W196" s="1"/>
      <c r="X196" s="1">
        <f t="shared" si="81"/>
        <v>0</v>
      </c>
      <c r="Y196" s="1"/>
      <c r="Z196" s="5">
        <f t="shared" si="82"/>
        <v>0</v>
      </c>
    </row>
    <row r="197" spans="1:26" s="24" customFormat="1" hidden="1" outlineLevel="2" x14ac:dyDescent="0.25">
      <c r="A197" s="28"/>
      <c r="B197" s="11" t="str">
        <f>CONCATENATE("          ", "6273", " - ", "RENT")</f>
        <v xml:space="preserve">          6273 - RENT</v>
      </c>
      <c r="C197" s="11"/>
      <c r="D197" s="7">
        <v>8750</v>
      </c>
      <c r="E197" s="2"/>
      <c r="F197" s="6">
        <f t="shared" si="75"/>
        <v>3.724033442654498E-3</v>
      </c>
      <c r="G197" s="2"/>
      <c r="H197" s="7">
        <v>12450</v>
      </c>
      <c r="I197" s="2"/>
      <c r="J197" s="6">
        <f t="shared" si="76"/>
        <v>1.3898245707610534E-2</v>
      </c>
      <c r="K197" s="2"/>
      <c r="L197" s="7">
        <f t="shared" si="77"/>
        <v>-3700</v>
      </c>
      <c r="M197" s="2"/>
      <c r="N197" s="6">
        <f t="shared" si="78"/>
        <v>-0.2971887550200803</v>
      </c>
      <c r="O197" s="11"/>
      <c r="P197" s="7">
        <v>26250</v>
      </c>
      <c r="Q197" s="2"/>
      <c r="R197" s="6">
        <f t="shared" si="79"/>
        <v>4.9136275253350006E-3</v>
      </c>
      <c r="S197" s="2"/>
      <c r="T197" s="7">
        <v>26250</v>
      </c>
      <c r="U197" s="2"/>
      <c r="V197" s="6">
        <f t="shared" si="80"/>
        <v>7.3248381934174255E-3</v>
      </c>
      <c r="W197" s="2"/>
      <c r="X197" s="7">
        <f t="shared" si="81"/>
        <v>0</v>
      </c>
      <c r="Y197" s="2"/>
      <c r="Z197" s="6">
        <f t="shared" si="82"/>
        <v>0</v>
      </c>
    </row>
    <row r="198" spans="1:26" s="27" customFormat="1" outlineLevel="1" collapsed="1" x14ac:dyDescent="0.25">
      <c r="A198" s="29"/>
      <c r="B198" s="14" t="str">
        <f>CONCATENATE("     ","Repair and Maintenance                            ")</f>
        <v xml:space="preserve">     Repair and Maintenance                            </v>
      </c>
      <c r="C198" s="14"/>
      <c r="D198" s="1">
        <f>SUM(OSRRefD22_17x_0)</f>
        <v>11438.830000000002</v>
      </c>
      <c r="E198" s="1"/>
      <c r="F198" s="5">
        <f t="shared" si="75"/>
        <v>4.8684097674102349E-3</v>
      </c>
      <c r="G198" s="1"/>
      <c r="H198" s="1">
        <f>SUM(OSRRefH22_17x_0)</f>
        <v>23477.25</v>
      </c>
      <c r="I198" s="1"/>
      <c r="J198" s="5">
        <f t="shared" si="76"/>
        <v>2.6208240083453769E-2</v>
      </c>
      <c r="K198" s="1"/>
      <c r="L198" s="1">
        <f t="shared" si="77"/>
        <v>-12038.419999999998</v>
      </c>
      <c r="M198" s="1"/>
      <c r="N198" s="5">
        <f t="shared" si="78"/>
        <v>-0.51276959609835049</v>
      </c>
      <c r="O198" s="14"/>
      <c r="P198" s="1">
        <f>SUM(OSRRefP22_17x_0)</f>
        <v>241486.05</v>
      </c>
      <c r="Q198" s="1"/>
      <c r="R198" s="5">
        <f t="shared" si="79"/>
        <v>4.5202761991025679E-2</v>
      </c>
      <c r="S198" s="1"/>
      <c r="T198" s="1">
        <f>SUM(OSRRefT22_17x_0)</f>
        <v>107962.20999999999</v>
      </c>
      <c r="U198" s="1"/>
      <c r="V198" s="5">
        <f t="shared" si="80"/>
        <v>3.012593216204772E-2</v>
      </c>
      <c r="W198" s="1"/>
      <c r="X198" s="1">
        <f t="shared" si="81"/>
        <v>133523.84</v>
      </c>
      <c r="Y198" s="1"/>
      <c r="Z198" s="5">
        <f t="shared" si="82"/>
        <v>1.2367646049483427</v>
      </c>
    </row>
    <row r="199" spans="1:26" s="24" customFormat="1" hidden="1" outlineLevel="2" x14ac:dyDescent="0.25">
      <c r="A199" s="28"/>
      <c r="B199" s="11" t="str">
        <f>CONCATENATE("          ", "6371", " - ", "COMPUTER SOFTWARE MAINTENANCE")</f>
        <v xml:space="preserve">          6371 - COMPUTER SOFTWARE MAINTENANCE</v>
      </c>
      <c r="C199" s="11"/>
      <c r="D199" s="7">
        <v>3500</v>
      </c>
      <c r="E199" s="2"/>
      <c r="F199" s="6">
        <f t="shared" si="75"/>
        <v>1.4896133770617992E-3</v>
      </c>
      <c r="G199" s="2"/>
      <c r="H199" s="7"/>
      <c r="I199" s="2"/>
      <c r="J199" s="6">
        <f t="shared" si="76"/>
        <v>0</v>
      </c>
      <c r="K199" s="2"/>
      <c r="L199" s="7">
        <f t="shared" si="77"/>
        <v>3500</v>
      </c>
      <c r="M199" s="2"/>
      <c r="N199" s="6">
        <f t="shared" si="78"/>
        <v>0</v>
      </c>
      <c r="O199" s="11"/>
      <c r="P199" s="7">
        <v>75301.22</v>
      </c>
      <c r="Q199" s="2"/>
      <c r="R199" s="6">
        <f t="shared" si="79"/>
        <v>1.4095319896506912E-2</v>
      </c>
      <c r="S199" s="2"/>
      <c r="T199" s="7">
        <v>58428.78</v>
      </c>
      <c r="U199" s="2"/>
      <c r="V199" s="6">
        <f t="shared" si="80"/>
        <v>1.6304051784334635E-2</v>
      </c>
      <c r="W199" s="2"/>
      <c r="X199" s="7">
        <f t="shared" si="81"/>
        <v>16872.440000000002</v>
      </c>
      <c r="Y199" s="2"/>
      <c r="Z199" s="6">
        <f t="shared" si="82"/>
        <v>0.28876933593342191</v>
      </c>
    </row>
    <row r="200" spans="1:26" s="24" customFormat="1" hidden="1" outlineLevel="2" x14ac:dyDescent="0.25">
      <c r="A200" s="28"/>
      <c r="B200" s="11" t="str">
        <f>CONCATENATE("          ", "6372", " - ", "COMPUTER HARDWARE MAINTENANCE")</f>
        <v xml:space="preserve">          6372 - COMPUTER HARDWARE MAINTENANCE</v>
      </c>
      <c r="C200" s="11"/>
      <c r="D200" s="7"/>
      <c r="E200" s="2"/>
      <c r="F200" s="6">
        <f t="shared" si="75"/>
        <v>0</v>
      </c>
      <c r="G200" s="2"/>
      <c r="H200" s="7">
        <v>-9.09</v>
      </c>
      <c r="I200" s="2"/>
      <c r="J200" s="6">
        <f t="shared" si="76"/>
        <v>-1.0147393853990342E-5</v>
      </c>
      <c r="K200" s="2"/>
      <c r="L200" s="7">
        <f t="shared" si="77"/>
        <v>9.09</v>
      </c>
      <c r="M200" s="2"/>
      <c r="N200" s="6">
        <f t="shared" si="78"/>
        <v>-1</v>
      </c>
      <c r="O200" s="11"/>
      <c r="P200" s="7"/>
      <c r="Q200" s="2"/>
      <c r="R200" s="6">
        <f t="shared" si="79"/>
        <v>0</v>
      </c>
      <c r="S200" s="2"/>
      <c r="T200" s="7">
        <v>-8.11</v>
      </c>
      <c r="U200" s="2"/>
      <c r="V200" s="6">
        <f t="shared" si="80"/>
        <v>-2.2630261999472501E-6</v>
      </c>
      <c r="W200" s="2"/>
      <c r="X200" s="7">
        <f t="shared" si="81"/>
        <v>8.11</v>
      </c>
      <c r="Y200" s="2"/>
      <c r="Z200" s="6">
        <f t="shared" si="82"/>
        <v>-1</v>
      </c>
    </row>
    <row r="201" spans="1:26" s="24" customFormat="1" hidden="1" outlineLevel="2" x14ac:dyDescent="0.25">
      <c r="A201" s="28"/>
      <c r="B201" s="11" t="str">
        <f>CONCATENATE("          ", "6373", " - ", "MAINTENANCE CONTRACTS")</f>
        <v xml:space="preserve">          6373 - MAINTENANCE CONTRACTS</v>
      </c>
      <c r="C201" s="11"/>
      <c r="D201" s="7">
        <v>2767.77</v>
      </c>
      <c r="E201" s="2"/>
      <c r="F201" s="6">
        <f t="shared" si="75"/>
        <v>1.1779734904658102E-3</v>
      </c>
      <c r="G201" s="2"/>
      <c r="H201" s="7">
        <v>14594.21</v>
      </c>
      <c r="I201" s="2"/>
      <c r="J201" s="6">
        <f t="shared" si="76"/>
        <v>1.6291880842447124E-2</v>
      </c>
      <c r="K201" s="2"/>
      <c r="L201" s="7">
        <f t="shared" si="77"/>
        <v>-11826.439999999999</v>
      </c>
      <c r="M201" s="2"/>
      <c r="N201" s="6">
        <f t="shared" si="78"/>
        <v>-0.8103515024108876</v>
      </c>
      <c r="O201" s="11"/>
      <c r="P201" s="7">
        <v>131448.31</v>
      </c>
      <c r="Q201" s="2"/>
      <c r="R201" s="6">
        <f t="shared" si="79"/>
        <v>2.4605258444753066E-2</v>
      </c>
      <c r="S201" s="2"/>
      <c r="T201" s="7">
        <v>34250.39</v>
      </c>
      <c r="U201" s="2"/>
      <c r="V201" s="6">
        <f t="shared" si="80"/>
        <v>9.5572786594835136E-3</v>
      </c>
      <c r="W201" s="2"/>
      <c r="X201" s="7">
        <f t="shared" si="81"/>
        <v>97197.92</v>
      </c>
      <c r="Y201" s="2"/>
      <c r="Z201" s="6">
        <f t="shared" si="82"/>
        <v>2.8378631600983231</v>
      </c>
    </row>
    <row r="202" spans="1:26" s="24" customFormat="1" hidden="1" outlineLevel="2" x14ac:dyDescent="0.25">
      <c r="A202" s="28"/>
      <c r="B202" s="11" t="str">
        <f>CONCATENATE("          ", "6375", " - ", "OUTSIDE REPAIRS &amp; MAINTENANCE")</f>
        <v xml:space="preserve">          6375 - OUTSIDE REPAIRS &amp; MAINTENANCE</v>
      </c>
      <c r="C202" s="11"/>
      <c r="D202" s="7">
        <v>5171.0600000000004</v>
      </c>
      <c r="E202" s="2"/>
      <c r="F202" s="6">
        <f t="shared" si="75"/>
        <v>2.2008228998826249E-3</v>
      </c>
      <c r="G202" s="2"/>
      <c r="H202" s="7">
        <v>8892.1299999999992</v>
      </c>
      <c r="I202" s="2"/>
      <c r="J202" s="6">
        <f t="shared" si="76"/>
        <v>9.926506634860631E-3</v>
      </c>
      <c r="K202" s="2"/>
      <c r="L202" s="7">
        <f t="shared" si="77"/>
        <v>-3721.0699999999988</v>
      </c>
      <c r="M202" s="2"/>
      <c r="N202" s="6">
        <f t="shared" si="78"/>
        <v>-0.41846779118164029</v>
      </c>
      <c r="O202" s="11"/>
      <c r="P202" s="7">
        <v>34736.519999999997</v>
      </c>
      <c r="Q202" s="2"/>
      <c r="R202" s="6">
        <f t="shared" si="79"/>
        <v>6.5021836497657038E-3</v>
      </c>
      <c r="S202" s="2"/>
      <c r="T202" s="7">
        <v>15291.15</v>
      </c>
      <c r="U202" s="2"/>
      <c r="V202" s="6">
        <f t="shared" si="80"/>
        <v>4.2668647444295184E-3</v>
      </c>
      <c r="W202" s="2"/>
      <c r="X202" s="7">
        <f t="shared" si="81"/>
        <v>19445.369999999995</v>
      </c>
      <c r="Y202" s="2"/>
      <c r="Z202" s="6">
        <f t="shared" si="82"/>
        <v>1.2716747922818097</v>
      </c>
    </row>
    <row r="203" spans="1:26" s="27" customFormat="1" outlineLevel="1" collapsed="1" x14ac:dyDescent="0.25">
      <c r="A203" s="29"/>
      <c r="B203" s="14" t="str">
        <f>CONCATENATE("     ","Royalty &amp; Commissions                             ")</f>
        <v xml:space="preserve">     Royalty &amp; Commissions                             </v>
      </c>
      <c r="C203" s="14"/>
      <c r="D203" s="1">
        <f>SUM(OSRRefD22_18x_0)</f>
        <v>1174.22</v>
      </c>
      <c r="E203" s="1"/>
      <c r="F203" s="5">
        <f t="shared" ref="F203:F206" si="83">IF(D$12=0,0,D203/D$12)</f>
        <v>4.9975251988957313E-4</v>
      </c>
      <c r="G203" s="1"/>
      <c r="H203" s="1">
        <f>SUM(OSRRefH22_18x_0)</f>
        <v>62.6</v>
      </c>
      <c r="I203" s="1"/>
      <c r="J203" s="5">
        <f t="shared" ref="J203:J206" si="84">IF(H$12=0,0,H203/H$12)</f>
        <v>6.9881942272804776E-5</v>
      </c>
      <c r="K203" s="1"/>
      <c r="L203" s="1">
        <f t="shared" ref="L203:L206" si="85">+D203-H203</f>
        <v>1111.6200000000001</v>
      </c>
      <c r="M203" s="1"/>
      <c r="N203" s="5">
        <f t="shared" ref="N203:N206" si="86">IF(H203=0,0,L203/H203)</f>
        <v>17.75750798722045</v>
      </c>
      <c r="O203" s="14"/>
      <c r="P203" s="1">
        <f>SUM(OSRRefP22_18x_0)</f>
        <v>9131.2100000000009</v>
      </c>
      <c r="Q203" s="1"/>
      <c r="R203" s="5">
        <f t="shared" ref="R203:R206" si="87">IF(P$12=0,0,P203/P$12)</f>
        <v>1.709232944594827E-3</v>
      </c>
      <c r="S203" s="1"/>
      <c r="T203" s="1">
        <f>SUM(OSRRefT22_18x_0)</f>
        <v>13307</v>
      </c>
      <c r="U203" s="1"/>
      <c r="V203" s="5">
        <f t="shared" ref="V203:V206" si="88">IF(T$12=0,0,T203/T$12)</f>
        <v>3.7132046415164067E-3</v>
      </c>
      <c r="W203" s="1"/>
      <c r="X203" s="1">
        <f t="shared" ref="X203:X206" si="89">+P203-T203</f>
        <v>-4175.7899999999991</v>
      </c>
      <c r="Y203" s="1"/>
      <c r="Z203" s="5">
        <f t="shared" ref="Z203:Z206" si="90">IF(T203=0,0,X203/T203)</f>
        <v>-0.31380401292552784</v>
      </c>
    </row>
    <row r="204" spans="1:26" s="24" customFormat="1" hidden="1" outlineLevel="2" x14ac:dyDescent="0.25">
      <c r="A204" s="28"/>
      <c r="B204" s="11" t="str">
        <f>CONCATENATE("          ", "6253", " - ", "ROYALTY DUE ATHLETICS-LRG")</f>
        <v xml:space="preserve">          6253 - ROYALTY DUE ATHLETICS-LRG</v>
      </c>
      <c r="C204" s="11"/>
      <c r="D204" s="7"/>
      <c r="E204" s="2"/>
      <c r="F204" s="6">
        <f t="shared" si="83"/>
        <v>0</v>
      </c>
      <c r="G204" s="2"/>
      <c r="H204" s="7"/>
      <c r="I204" s="2"/>
      <c r="J204" s="6">
        <f t="shared" si="84"/>
        <v>0</v>
      </c>
      <c r="K204" s="2"/>
      <c r="L204" s="7">
        <f t="shared" si="85"/>
        <v>0</v>
      </c>
      <c r="M204" s="2"/>
      <c r="N204" s="6">
        <f t="shared" si="86"/>
        <v>0</v>
      </c>
      <c r="O204" s="11"/>
      <c r="P204" s="7">
        <v>14376.54</v>
      </c>
      <c r="Q204" s="2"/>
      <c r="R204" s="6">
        <f t="shared" si="87"/>
        <v>2.6910842919268436E-3</v>
      </c>
      <c r="S204" s="2"/>
      <c r="T204" s="7">
        <v>7922.2</v>
      </c>
      <c r="U204" s="2"/>
      <c r="V204" s="6">
        <f t="shared" si="88"/>
        <v>2.2106222147006294E-3</v>
      </c>
      <c r="W204" s="2"/>
      <c r="X204" s="7">
        <f t="shared" si="89"/>
        <v>6454.3400000000011</v>
      </c>
      <c r="Y204" s="2"/>
      <c r="Z204" s="6">
        <f t="shared" si="90"/>
        <v>0.81471560930044695</v>
      </c>
    </row>
    <row r="205" spans="1:26" s="24" customFormat="1" hidden="1" outlineLevel="2" x14ac:dyDescent="0.25">
      <c r="A205" s="28"/>
      <c r="B205" s="11" t="str">
        <f>CONCATENATE("          ", "6254", " - ", "ROYALTY &amp; COMMISSIONS")</f>
        <v xml:space="preserve">          6254 - ROYALTY &amp; COMMISSIONS</v>
      </c>
      <c r="C205" s="11"/>
      <c r="D205" s="7"/>
      <c r="E205" s="2"/>
      <c r="F205" s="6">
        <f t="shared" si="83"/>
        <v>0</v>
      </c>
      <c r="G205" s="2"/>
      <c r="H205" s="7"/>
      <c r="I205" s="2"/>
      <c r="J205" s="6">
        <f t="shared" si="84"/>
        <v>0</v>
      </c>
      <c r="K205" s="2"/>
      <c r="L205" s="7">
        <f t="shared" si="85"/>
        <v>0</v>
      </c>
      <c r="M205" s="2"/>
      <c r="N205" s="6">
        <f t="shared" si="86"/>
        <v>0</v>
      </c>
      <c r="O205" s="11"/>
      <c r="P205" s="7">
        <v>-7027.5</v>
      </c>
      <c r="Q205" s="2"/>
      <c r="R205" s="6">
        <f t="shared" si="87"/>
        <v>-1.3154482832111129E-3</v>
      </c>
      <c r="S205" s="2"/>
      <c r="T205" s="7"/>
      <c r="U205" s="2"/>
      <c r="V205" s="6">
        <f t="shared" si="88"/>
        <v>0</v>
      </c>
      <c r="W205" s="2"/>
      <c r="X205" s="7">
        <f t="shared" si="89"/>
        <v>-7027.5</v>
      </c>
      <c r="Y205" s="2"/>
      <c r="Z205" s="6">
        <f t="shared" si="90"/>
        <v>0</v>
      </c>
    </row>
    <row r="206" spans="1:26" s="24" customFormat="1" hidden="1" outlineLevel="2" x14ac:dyDescent="0.25">
      <c r="A206" s="28"/>
      <c r="B206" s="11" t="str">
        <f>CONCATENATE("          ", "6259", " - ", "ROYALTY &amp; COMMISSIONS")</f>
        <v xml:space="preserve">          6259 - ROYALTY &amp; COMMISSIONS</v>
      </c>
      <c r="C206" s="11"/>
      <c r="D206" s="7">
        <v>1174.22</v>
      </c>
      <c r="E206" s="2"/>
      <c r="F206" s="6">
        <f t="shared" si="83"/>
        <v>4.9975251988957313E-4</v>
      </c>
      <c r="G206" s="2"/>
      <c r="H206" s="7">
        <v>62.6</v>
      </c>
      <c r="I206" s="2"/>
      <c r="J206" s="6">
        <f t="shared" si="84"/>
        <v>6.9881942272804776E-5</v>
      </c>
      <c r="K206" s="2"/>
      <c r="L206" s="7">
        <f t="shared" si="85"/>
        <v>1111.6200000000001</v>
      </c>
      <c r="M206" s="2"/>
      <c r="N206" s="6">
        <f t="shared" si="86"/>
        <v>17.75750798722045</v>
      </c>
      <c r="O206" s="11"/>
      <c r="P206" s="7">
        <v>1782.17</v>
      </c>
      <c r="Q206" s="2"/>
      <c r="R206" s="6">
        <f t="shared" si="87"/>
        <v>3.335969358790963E-4</v>
      </c>
      <c r="S206" s="2"/>
      <c r="T206" s="7">
        <v>5384.8</v>
      </c>
      <c r="U206" s="2"/>
      <c r="V206" s="6">
        <f t="shared" si="88"/>
        <v>1.5025824268157773E-3</v>
      </c>
      <c r="W206" s="2"/>
      <c r="X206" s="7">
        <f t="shared" si="89"/>
        <v>-3602.63</v>
      </c>
      <c r="Y206" s="2"/>
      <c r="Z206" s="6">
        <f t="shared" si="90"/>
        <v>-0.66903691873421478</v>
      </c>
    </row>
    <row r="207" spans="1:26" s="27" customFormat="1" outlineLevel="1" collapsed="1" x14ac:dyDescent="0.25">
      <c r="A207" s="29"/>
      <c r="B207" s="14" t="str">
        <f>CONCATENATE("     ","Services                                          ")</f>
        <v xml:space="preserve">     Services                                          </v>
      </c>
      <c r="C207" s="14"/>
      <c r="D207" s="1">
        <f>SUM(OSRRefD22_19x_0)</f>
        <v>26170.71</v>
      </c>
      <c r="E207" s="1"/>
      <c r="F207" s="5">
        <f t="shared" ref="F207:F212" si="91">IF(D$12=0,0,D207/D$12)</f>
        <v>1.1138354200915713E-2</v>
      </c>
      <c r="G207" s="1"/>
      <c r="H207" s="1">
        <f>SUM(OSRRefH22_19x_0)</f>
        <v>21871.279999999999</v>
      </c>
      <c r="I207" s="1"/>
      <c r="J207" s="5">
        <f t="shared" ref="J207:J212" si="92">IF(H$12=0,0,H207/H$12)</f>
        <v>2.4415455693168522E-2</v>
      </c>
      <c r="K207" s="1"/>
      <c r="L207" s="1">
        <f t="shared" ref="L207:L212" si="93">+D207-H207</f>
        <v>4299.43</v>
      </c>
      <c r="M207" s="1"/>
      <c r="N207" s="5">
        <f t="shared" ref="N207:N212" si="94">IF(H207=0,0,L207/H207)</f>
        <v>0.19657880105782563</v>
      </c>
      <c r="O207" s="14"/>
      <c r="P207" s="1">
        <f>SUM(OSRRefP22_19x_0)</f>
        <v>98549.74</v>
      </c>
      <c r="Q207" s="1"/>
      <c r="R207" s="5">
        <f t="shared" ref="R207:R212" si="95">IF(P$12=0,0,P207/P$12)</f>
        <v>1.844711295537553E-2</v>
      </c>
      <c r="S207" s="1"/>
      <c r="T207" s="1">
        <f>SUM(OSRRefT22_19x_0)</f>
        <v>49584.320000000007</v>
      </c>
      <c r="U207" s="1"/>
      <c r="V207" s="5">
        <f t="shared" ref="V207:V212" si="96">IF(T$12=0,0,T207/T$12)</f>
        <v>1.3836080797357393E-2</v>
      </c>
      <c r="W207" s="1"/>
      <c r="X207" s="1">
        <f t="shared" ref="X207:X212" si="97">+P207-T207</f>
        <v>48965.42</v>
      </c>
      <c r="Y207" s="1"/>
      <c r="Z207" s="5">
        <f t="shared" ref="Z207:Z212" si="98">IF(T207=0,0,X207/T207)</f>
        <v>0.98751823156997998</v>
      </c>
    </row>
    <row r="208" spans="1:26" s="24" customFormat="1" hidden="1" outlineLevel="2" x14ac:dyDescent="0.25">
      <c r="A208" s="28"/>
      <c r="B208" s="11" t="str">
        <f>CONCATENATE("          ", "6282", " - ", "JANITORIAL/EXTERMINATOR EXPENS")</f>
        <v xml:space="preserve">          6282 - JANITORIAL/EXTERMINATOR EXPENS</v>
      </c>
      <c r="C208" s="11"/>
      <c r="D208" s="7">
        <v>4362.9399999999996</v>
      </c>
      <c r="E208" s="2"/>
      <c r="F208" s="6">
        <f t="shared" si="91"/>
        <v>1.8568839392337159E-3</v>
      </c>
      <c r="G208" s="2"/>
      <c r="H208" s="7">
        <v>315.86</v>
      </c>
      <c r="I208" s="2"/>
      <c r="J208" s="6">
        <f t="shared" si="92"/>
        <v>3.5260240073942676E-4</v>
      </c>
      <c r="K208" s="2"/>
      <c r="L208" s="7">
        <f t="shared" si="93"/>
        <v>4047.0799999999995</v>
      </c>
      <c r="M208" s="2"/>
      <c r="N208" s="6">
        <f t="shared" si="94"/>
        <v>12.812891787500789</v>
      </c>
      <c r="O208" s="11"/>
      <c r="P208" s="7">
        <v>8747.6299999999992</v>
      </c>
      <c r="Q208" s="2"/>
      <c r="R208" s="6">
        <f t="shared" si="95"/>
        <v>1.6374322114074745E-3</v>
      </c>
      <c r="S208" s="2"/>
      <c r="T208" s="7">
        <v>2927.76</v>
      </c>
      <c r="U208" s="2"/>
      <c r="V208" s="6">
        <f t="shared" si="96"/>
        <v>8.1696641025370679E-4</v>
      </c>
      <c r="W208" s="2"/>
      <c r="X208" s="7">
        <f t="shared" si="97"/>
        <v>5819.869999999999</v>
      </c>
      <c r="Y208" s="2"/>
      <c r="Z208" s="6">
        <f t="shared" si="98"/>
        <v>1.987823455474492</v>
      </c>
    </row>
    <row r="209" spans="1:26" s="24" customFormat="1" hidden="1" outlineLevel="2" x14ac:dyDescent="0.25">
      <c r="A209" s="28"/>
      <c r="B209" s="11" t="str">
        <f>CONCATENATE("          ", "6283", " - ", "PLANT SERVICE")</f>
        <v xml:space="preserve">          6283 - PLANT SERVICE</v>
      </c>
      <c r="C209" s="11"/>
      <c r="D209" s="7"/>
      <c r="E209" s="2"/>
      <c r="F209" s="6">
        <f t="shared" si="91"/>
        <v>0</v>
      </c>
      <c r="G209" s="2"/>
      <c r="H209" s="7"/>
      <c r="I209" s="2"/>
      <c r="J209" s="6">
        <f t="shared" si="92"/>
        <v>0</v>
      </c>
      <c r="K209" s="2"/>
      <c r="L209" s="7">
        <f t="shared" si="93"/>
        <v>0</v>
      </c>
      <c r="M209" s="2"/>
      <c r="N209" s="6">
        <f t="shared" si="94"/>
        <v>0</v>
      </c>
      <c r="O209" s="11"/>
      <c r="P209" s="7"/>
      <c r="Q209" s="2"/>
      <c r="R209" s="6">
        <f t="shared" si="95"/>
        <v>0</v>
      </c>
      <c r="S209" s="2"/>
      <c r="T209" s="7">
        <v>130</v>
      </c>
      <c r="U209" s="2"/>
      <c r="V209" s="6">
        <f t="shared" si="96"/>
        <v>3.627538914835296E-5</v>
      </c>
      <c r="W209" s="2"/>
      <c r="X209" s="7">
        <f t="shared" si="97"/>
        <v>-130</v>
      </c>
      <c r="Y209" s="2"/>
      <c r="Z209" s="6">
        <f t="shared" si="98"/>
        <v>-1</v>
      </c>
    </row>
    <row r="210" spans="1:26" s="24" customFormat="1" hidden="1" outlineLevel="2" x14ac:dyDescent="0.25">
      <c r="A210" s="28"/>
      <c r="B210" s="11" t="str">
        <f>CONCATENATE("          ", "6284", " - ", "TRASH REMOVAL EXPENSE")</f>
        <v xml:space="preserve">          6284 - TRASH REMOVAL EXPENSE</v>
      </c>
      <c r="C210" s="11"/>
      <c r="D210" s="7">
        <v>149.69999999999999</v>
      </c>
      <c r="E210" s="2"/>
      <c r="F210" s="6">
        <f t="shared" si="91"/>
        <v>6.3712892156043231E-5</v>
      </c>
      <c r="G210" s="2"/>
      <c r="H210" s="7">
        <v>903.57</v>
      </c>
      <c r="I210" s="2"/>
      <c r="J210" s="6">
        <f t="shared" si="92"/>
        <v>1.0086777408855943E-3</v>
      </c>
      <c r="K210" s="2"/>
      <c r="L210" s="7">
        <f t="shared" si="93"/>
        <v>-753.87000000000012</v>
      </c>
      <c r="M210" s="2"/>
      <c r="N210" s="6">
        <f t="shared" si="94"/>
        <v>-0.83432384873335774</v>
      </c>
      <c r="O210" s="11"/>
      <c r="P210" s="7">
        <v>441.97</v>
      </c>
      <c r="Q210" s="2"/>
      <c r="R210" s="6">
        <f t="shared" si="95"/>
        <v>8.2730512661802295E-5</v>
      </c>
      <c r="S210" s="2"/>
      <c r="T210" s="7">
        <v>3188.71</v>
      </c>
      <c r="U210" s="2"/>
      <c r="V210" s="6">
        <f t="shared" si="96"/>
        <v>8.8978227793265062E-4</v>
      </c>
      <c r="W210" s="2"/>
      <c r="X210" s="7">
        <f t="shared" si="97"/>
        <v>-2746.74</v>
      </c>
      <c r="Y210" s="2"/>
      <c r="Z210" s="6">
        <f t="shared" si="98"/>
        <v>-0.86139536050628618</v>
      </c>
    </row>
    <row r="211" spans="1:26" s="24" customFormat="1" hidden="1" outlineLevel="2" x14ac:dyDescent="0.25">
      <c r="A211" s="28"/>
      <c r="B211" s="11" t="str">
        <f>CONCATENATE("          ", "6285", " - ", "JANITORIAL SERVICES")</f>
        <v xml:space="preserve">          6285 - JANITORIAL SERVICES</v>
      </c>
      <c r="C211" s="11"/>
      <c r="D211" s="7">
        <v>20228.560000000001</v>
      </c>
      <c r="E211" s="2"/>
      <c r="F211" s="6">
        <f t="shared" si="91"/>
        <v>8.6093524499134943E-3</v>
      </c>
      <c r="G211" s="2"/>
      <c r="H211" s="7">
        <v>19141.91</v>
      </c>
      <c r="I211" s="2"/>
      <c r="J211" s="6">
        <f t="shared" si="92"/>
        <v>2.1368591846824672E-2</v>
      </c>
      <c r="K211" s="2"/>
      <c r="L211" s="7">
        <f t="shared" si="93"/>
        <v>1086.6500000000015</v>
      </c>
      <c r="M211" s="2"/>
      <c r="N211" s="6">
        <f t="shared" si="94"/>
        <v>5.6768107257844251E-2</v>
      </c>
      <c r="O211" s="11"/>
      <c r="P211" s="7">
        <v>84293.09</v>
      </c>
      <c r="Q211" s="2"/>
      <c r="R211" s="6">
        <f t="shared" si="95"/>
        <v>1.5778470370268208E-2</v>
      </c>
      <c r="S211" s="2"/>
      <c r="T211" s="7">
        <v>37377.980000000003</v>
      </c>
      <c r="U211" s="2"/>
      <c r="V211" s="6">
        <f t="shared" si="96"/>
        <v>1.0430005923687339E-2</v>
      </c>
      <c r="W211" s="2"/>
      <c r="X211" s="7">
        <f t="shared" si="97"/>
        <v>46915.109999999993</v>
      </c>
      <c r="Y211" s="2"/>
      <c r="Z211" s="6">
        <f t="shared" si="98"/>
        <v>1.2551537027950679</v>
      </c>
    </row>
    <row r="212" spans="1:26" s="24" customFormat="1" hidden="1" outlineLevel="2" x14ac:dyDescent="0.25">
      <c r="A212" s="28"/>
      <c r="B212" s="11" t="str">
        <f>CONCATENATE("          ", "6286", " - ", "LAUNDRY EXPENSE")</f>
        <v xml:space="preserve">          6286 - LAUNDRY EXPENSE</v>
      </c>
      <c r="C212" s="11"/>
      <c r="D212" s="7">
        <v>1429.51</v>
      </c>
      <c r="E212" s="2"/>
      <c r="F212" s="6">
        <f t="shared" si="91"/>
        <v>6.0840491961246072E-4</v>
      </c>
      <c r="G212" s="2"/>
      <c r="H212" s="7">
        <v>1509.94</v>
      </c>
      <c r="I212" s="2"/>
      <c r="J212" s="6">
        <f t="shared" si="92"/>
        <v>1.6855837047188313E-3</v>
      </c>
      <c r="K212" s="2"/>
      <c r="L212" s="7">
        <f t="shared" si="93"/>
        <v>-80.430000000000064</v>
      </c>
      <c r="M212" s="2"/>
      <c r="N212" s="6">
        <f t="shared" si="94"/>
        <v>-5.3267017232472853E-2</v>
      </c>
      <c r="O212" s="11"/>
      <c r="P212" s="7">
        <v>5067.05</v>
      </c>
      <c r="Q212" s="2"/>
      <c r="R212" s="6">
        <f t="shared" si="95"/>
        <v>9.4847986103804621E-4</v>
      </c>
      <c r="S212" s="2"/>
      <c r="T212" s="7">
        <v>5959.87</v>
      </c>
      <c r="U212" s="2"/>
      <c r="V212" s="6">
        <f t="shared" si="96"/>
        <v>1.6630507963353413E-3</v>
      </c>
      <c r="W212" s="2"/>
      <c r="X212" s="7">
        <f t="shared" si="97"/>
        <v>-892.81999999999971</v>
      </c>
      <c r="Y212" s="2"/>
      <c r="Z212" s="6">
        <f t="shared" si="98"/>
        <v>-0.14980528098767251</v>
      </c>
    </row>
    <row r="213" spans="1:26" s="27" customFormat="1" outlineLevel="1" collapsed="1" x14ac:dyDescent="0.25">
      <c r="A213" s="29"/>
      <c r="B213" s="14" t="str">
        <f>CONCATENATE("     ","Subscriptions &amp; Dues                              ")</f>
        <v xml:space="preserve">     Subscriptions &amp; Dues                              </v>
      </c>
      <c r="C213" s="14"/>
      <c r="D213" s="1">
        <f>SUM(OSRRefD22_20x_0)</f>
        <v>336.37</v>
      </c>
      <c r="E213" s="1"/>
      <c r="F213" s="5">
        <f t="shared" ref="F213:F215" si="99">IF(D$12=0,0,D213/D$12)</f>
        <v>1.4316035761207925E-4</v>
      </c>
      <c r="G213" s="1"/>
      <c r="H213" s="1">
        <f>SUM(OSRRefH22_20x_0)</f>
        <v>280.11</v>
      </c>
      <c r="I213" s="1"/>
      <c r="J213" s="5">
        <f t="shared" ref="J213:J215" si="100">IF(H$12=0,0,H213/H$12)</f>
        <v>3.1269378354689052E-4</v>
      </c>
      <c r="K213" s="1"/>
      <c r="L213" s="1">
        <f t="shared" ref="L213:L215" si="101">+D213-H213</f>
        <v>56.259999999999991</v>
      </c>
      <c r="M213" s="1"/>
      <c r="N213" s="5">
        <f t="shared" ref="N213:N215" si="102">IF(H213=0,0,L213/H213)</f>
        <v>0.20084966620256323</v>
      </c>
      <c r="O213" s="14"/>
      <c r="P213" s="1">
        <f>SUM(OSRRefP22_20x_0)</f>
        <v>1185.95</v>
      </c>
      <c r="Q213" s="1"/>
      <c r="R213" s="5">
        <f t="shared" ref="R213:R215" si="103">IF(P$12=0,0,P213/P$12)</f>
        <v>2.219930119493731E-4</v>
      </c>
      <c r="S213" s="1"/>
      <c r="T213" s="1">
        <f>SUM(OSRRefT22_20x_0)</f>
        <v>924.43</v>
      </c>
      <c r="U213" s="1"/>
      <c r="V213" s="5">
        <f t="shared" ref="V213:V215" si="104">IF(T$12=0,0,T213/T$12)</f>
        <v>2.5795429223393791E-4</v>
      </c>
      <c r="W213" s="1"/>
      <c r="X213" s="1">
        <f t="shared" ref="X213:X215" si="105">+P213-T213</f>
        <v>261.5200000000001</v>
      </c>
      <c r="Y213" s="1"/>
      <c r="Z213" s="5">
        <f t="shared" ref="Z213:Z215" si="106">IF(T213=0,0,X213/T213)</f>
        <v>0.28289865106065371</v>
      </c>
    </row>
    <row r="214" spans="1:26" s="24" customFormat="1" hidden="1" outlineLevel="2" x14ac:dyDescent="0.25">
      <c r="A214" s="28"/>
      <c r="B214" s="11" t="str">
        <f>CONCATENATE("          ", "6258", " - ", "MEMBERSHIP DUES")</f>
        <v xml:space="preserve">          6258 - MEMBERSHIP DUES</v>
      </c>
      <c r="C214" s="11"/>
      <c r="D214" s="7">
        <v>-72.56</v>
      </c>
      <c r="E214" s="2"/>
      <c r="F214" s="6">
        <f t="shared" si="99"/>
        <v>-3.0881813325601188E-5</v>
      </c>
      <c r="G214" s="2"/>
      <c r="H214" s="7">
        <v>73.040000000000006</v>
      </c>
      <c r="I214" s="2"/>
      <c r="J214" s="6">
        <f t="shared" si="100"/>
        <v>8.1536374817981801E-5</v>
      </c>
      <c r="K214" s="2"/>
      <c r="L214" s="7">
        <f t="shared" si="101"/>
        <v>-145.60000000000002</v>
      </c>
      <c r="M214" s="2"/>
      <c r="N214" s="6">
        <f t="shared" si="102"/>
        <v>-1.9934282584884997</v>
      </c>
      <c r="O214" s="11"/>
      <c r="P214" s="7">
        <v>52.76</v>
      </c>
      <c r="Q214" s="2"/>
      <c r="R214" s="6">
        <f t="shared" si="103"/>
        <v>9.8759233613971281E-6</v>
      </c>
      <c r="S214" s="2"/>
      <c r="T214" s="7">
        <v>633.04</v>
      </c>
      <c r="U214" s="2"/>
      <c r="V214" s="6">
        <f t="shared" si="104"/>
        <v>1.7664440266517968E-4</v>
      </c>
      <c r="W214" s="2"/>
      <c r="X214" s="7">
        <f t="shared" si="105"/>
        <v>-580.28</v>
      </c>
      <c r="Y214" s="2"/>
      <c r="Z214" s="6">
        <f t="shared" si="106"/>
        <v>-0.91665613547327185</v>
      </c>
    </row>
    <row r="215" spans="1:26" s="24" customFormat="1" hidden="1" outlineLevel="2" x14ac:dyDescent="0.25">
      <c r="A215" s="28"/>
      <c r="B215" s="11" t="str">
        <f>CONCATENATE("          ", "6275", " - ", "SUBSCRIPTIONS")</f>
        <v xml:space="preserve">          6275 - SUBSCRIPTIONS</v>
      </c>
      <c r="C215" s="11"/>
      <c r="D215" s="7">
        <v>408.93</v>
      </c>
      <c r="E215" s="2"/>
      <c r="F215" s="6">
        <f t="shared" si="99"/>
        <v>1.7404217093768044E-4</v>
      </c>
      <c r="G215" s="2"/>
      <c r="H215" s="7">
        <v>207.07</v>
      </c>
      <c r="I215" s="2"/>
      <c r="J215" s="6">
        <f t="shared" si="100"/>
        <v>2.3115740872890869E-4</v>
      </c>
      <c r="K215" s="2"/>
      <c r="L215" s="7">
        <f t="shared" si="101"/>
        <v>201.86</v>
      </c>
      <c r="M215" s="2"/>
      <c r="N215" s="6">
        <f t="shared" si="102"/>
        <v>0.97483942628096787</v>
      </c>
      <c r="O215" s="11"/>
      <c r="P215" s="7">
        <v>1133.19</v>
      </c>
      <c r="Q215" s="2"/>
      <c r="R215" s="6">
        <f t="shared" si="103"/>
        <v>2.1211708858797596E-4</v>
      </c>
      <c r="S215" s="2"/>
      <c r="T215" s="7">
        <v>291.39</v>
      </c>
      <c r="U215" s="2"/>
      <c r="V215" s="6">
        <f t="shared" si="104"/>
        <v>8.1309889568758232E-5</v>
      </c>
      <c r="W215" s="2"/>
      <c r="X215" s="7">
        <f t="shared" si="105"/>
        <v>841.80000000000007</v>
      </c>
      <c r="Y215" s="2"/>
      <c r="Z215" s="6">
        <f t="shared" si="106"/>
        <v>2.8889117677339651</v>
      </c>
    </row>
    <row r="216" spans="1:26" s="27" customFormat="1" outlineLevel="1" collapsed="1" x14ac:dyDescent="0.25">
      <c r="A216" s="29"/>
      <c r="B216" s="14" t="str">
        <f>CONCATENATE("     ","Supplies                                          ")</f>
        <v xml:space="preserve">     Supplies                                          </v>
      </c>
      <c r="C216" s="14"/>
      <c r="D216" s="1">
        <f>SUM(OSRRefD22_21x_0)</f>
        <v>57008.959999999999</v>
      </c>
      <c r="E216" s="1"/>
      <c r="F216" s="5">
        <f t="shared" ref="F216:F225" si="107">IF(D$12=0,0,D216/D$12)</f>
        <v>2.426323126525172E-2</v>
      </c>
      <c r="G216" s="1"/>
      <c r="H216" s="1">
        <f>SUM(OSRRefH22_21x_0)</f>
        <v>23781.030000000002</v>
      </c>
      <c r="I216" s="1"/>
      <c r="J216" s="5">
        <f t="shared" ref="J216:J225" si="108">IF(H$12=0,0,H216/H$12)</f>
        <v>2.6547357278719468E-2</v>
      </c>
      <c r="K216" s="1"/>
      <c r="L216" s="1">
        <f t="shared" ref="L216:L225" si="109">+D216-H216</f>
        <v>33227.929999999993</v>
      </c>
      <c r="M216" s="1"/>
      <c r="N216" s="5">
        <f t="shared" ref="N216:N225" si="110">IF(H216=0,0,L216/H216)</f>
        <v>1.3972451992197137</v>
      </c>
      <c r="O216" s="14"/>
      <c r="P216" s="1">
        <f>SUM(OSRRefP22_21x_0)</f>
        <v>118225.43</v>
      </c>
      <c r="Q216" s="1"/>
      <c r="R216" s="5">
        <f t="shared" ref="R216:R225" si="111">IF(P$12=0,0,P216/P$12)</f>
        <v>2.2130122934954904E-2</v>
      </c>
      <c r="S216" s="1"/>
      <c r="T216" s="1">
        <f>SUM(OSRRefT22_21x_0)</f>
        <v>78120.069999999992</v>
      </c>
      <c r="U216" s="1"/>
      <c r="V216" s="5">
        <f t="shared" ref="V216:V225" si="112">IF(T$12=0,0,T216/T$12)</f>
        <v>2.1798737996512104E-2</v>
      </c>
      <c r="W216" s="1"/>
      <c r="X216" s="1">
        <f t="shared" ref="X216:X225" si="113">+P216-T216</f>
        <v>40105.360000000001</v>
      </c>
      <c r="Y216" s="1"/>
      <c r="Z216" s="5">
        <f t="shared" ref="Z216:Z225" si="114">IF(T216=0,0,X216/T216)</f>
        <v>0.51338100439490142</v>
      </c>
    </row>
    <row r="217" spans="1:26" s="24" customFormat="1" hidden="1" outlineLevel="2" x14ac:dyDescent="0.25">
      <c r="A217" s="28"/>
      <c r="B217" s="11" t="str">
        <f>CONCATENATE("          ", "6234", " - ", "EXPENDABLE SUPPLIES &amp; EQUIPMEN")</f>
        <v xml:space="preserve">          6234 - EXPENDABLE SUPPLIES &amp; EQUIPMEN</v>
      </c>
      <c r="C217" s="11"/>
      <c r="D217" s="7">
        <v>21.98</v>
      </c>
      <c r="E217" s="2"/>
      <c r="F217" s="6">
        <f t="shared" si="107"/>
        <v>9.3547720079480988E-6</v>
      </c>
      <c r="G217" s="2"/>
      <c r="H217" s="7">
        <v>316.67</v>
      </c>
      <c r="I217" s="2"/>
      <c r="J217" s="6">
        <f t="shared" si="108"/>
        <v>3.535066239541388E-4</v>
      </c>
      <c r="K217" s="2"/>
      <c r="L217" s="7">
        <f t="shared" si="109"/>
        <v>-294.69</v>
      </c>
      <c r="M217" s="2"/>
      <c r="N217" s="6">
        <f t="shared" si="110"/>
        <v>-0.9305902043136387</v>
      </c>
      <c r="O217" s="11"/>
      <c r="P217" s="7">
        <v>21.98</v>
      </c>
      <c r="Q217" s="2"/>
      <c r="R217" s="6">
        <f t="shared" si="111"/>
        <v>4.1143441145471734E-6</v>
      </c>
      <c r="S217" s="2"/>
      <c r="T217" s="7">
        <v>572.45000000000005</v>
      </c>
      <c r="U217" s="2"/>
      <c r="V217" s="6">
        <f t="shared" si="112"/>
        <v>1.5973728090749734E-4</v>
      </c>
      <c r="W217" s="2"/>
      <c r="X217" s="7">
        <f t="shared" si="113"/>
        <v>-550.47</v>
      </c>
      <c r="Y217" s="2"/>
      <c r="Z217" s="6">
        <f t="shared" si="114"/>
        <v>-0.96160363350510958</v>
      </c>
    </row>
    <row r="218" spans="1:26" s="24" customFormat="1" hidden="1" outlineLevel="2" x14ac:dyDescent="0.25">
      <c r="A218" s="28"/>
      <c r="B218" s="11" t="str">
        <f>CONCATENATE("          ", "6235", " - ", "COVID-19 EXPENSES")</f>
        <v xml:space="preserve">          6235 - COVID-19 EXPENSES</v>
      </c>
      <c r="C218" s="11"/>
      <c r="D218" s="7">
        <v>655.99</v>
      </c>
      <c r="E218" s="2"/>
      <c r="F218" s="6">
        <f t="shared" si="107"/>
        <v>2.7919185120536274E-4</v>
      </c>
      <c r="G218" s="2"/>
      <c r="H218" s="7">
        <v>6506.04</v>
      </c>
      <c r="I218" s="2"/>
      <c r="J218" s="6">
        <f t="shared" si="108"/>
        <v>7.2628548195616417E-3</v>
      </c>
      <c r="K218" s="2"/>
      <c r="L218" s="7">
        <f t="shared" si="109"/>
        <v>-5850.05</v>
      </c>
      <c r="M218" s="2"/>
      <c r="N218" s="6">
        <f t="shared" si="110"/>
        <v>-0.89917215387547578</v>
      </c>
      <c r="O218" s="11"/>
      <c r="P218" s="7">
        <v>3623.82</v>
      </c>
      <c r="Q218" s="2"/>
      <c r="R218" s="6">
        <f t="shared" si="111"/>
        <v>6.783276837660755E-4</v>
      </c>
      <c r="S218" s="2"/>
      <c r="T218" s="7">
        <v>28511.02</v>
      </c>
      <c r="U218" s="2"/>
      <c r="V218" s="6">
        <f t="shared" si="112"/>
        <v>7.9557565039728786E-3</v>
      </c>
      <c r="W218" s="2"/>
      <c r="X218" s="7">
        <f t="shared" si="113"/>
        <v>-24887.200000000001</v>
      </c>
      <c r="Y218" s="2"/>
      <c r="Z218" s="6">
        <f t="shared" si="114"/>
        <v>-0.87289756732659862</v>
      </c>
    </row>
    <row r="219" spans="1:26" s="24" customFormat="1" hidden="1" outlineLevel="2" x14ac:dyDescent="0.25">
      <c r="A219" s="28"/>
      <c r="B219" s="11" t="str">
        <f>CONCATENATE("          ", "6237", " - ", "JANITORIAL SUPPLIES")</f>
        <v xml:space="preserve">          6237 - JANITORIAL SUPPLIES</v>
      </c>
      <c r="C219" s="11"/>
      <c r="D219" s="7">
        <v>13865.8</v>
      </c>
      <c r="E219" s="2"/>
      <c r="F219" s="6">
        <f t="shared" si="107"/>
        <v>5.9013374753324266E-3</v>
      </c>
      <c r="G219" s="2"/>
      <c r="H219" s="7">
        <v>3806.33</v>
      </c>
      <c r="I219" s="2"/>
      <c r="J219" s="6">
        <f t="shared" si="108"/>
        <v>4.2491011714256384E-3</v>
      </c>
      <c r="K219" s="2"/>
      <c r="L219" s="7">
        <f t="shared" si="109"/>
        <v>10059.469999999999</v>
      </c>
      <c r="M219" s="2"/>
      <c r="N219" s="6">
        <f t="shared" si="110"/>
        <v>2.6428265547128071</v>
      </c>
      <c r="O219" s="11"/>
      <c r="P219" s="7">
        <v>24278.94</v>
      </c>
      <c r="Q219" s="2"/>
      <c r="R219" s="6">
        <f t="shared" si="111"/>
        <v>4.5446730617126454E-3</v>
      </c>
      <c r="S219" s="2"/>
      <c r="T219" s="7">
        <v>6550.59</v>
      </c>
      <c r="U219" s="2"/>
      <c r="V219" s="6">
        <f t="shared" si="112"/>
        <v>1.8278861646254573E-3</v>
      </c>
      <c r="W219" s="2"/>
      <c r="X219" s="7">
        <f t="shared" si="113"/>
        <v>17728.349999999999</v>
      </c>
      <c r="Y219" s="2"/>
      <c r="Z219" s="6">
        <f t="shared" si="114"/>
        <v>2.7063745403085826</v>
      </c>
    </row>
    <row r="220" spans="1:26" s="24" customFormat="1" hidden="1" outlineLevel="2" x14ac:dyDescent="0.25">
      <c r="A220" s="28"/>
      <c r="B220" s="11" t="str">
        <f>CONCATENATE("          ", "6239", " - ", "KITCHEN SUPPLIES")</f>
        <v xml:space="preserve">          6239 - KITCHEN SUPPLIES</v>
      </c>
      <c r="C220" s="11"/>
      <c r="D220" s="7">
        <v>11018.05</v>
      </c>
      <c r="E220" s="2"/>
      <c r="F220" s="6">
        <f t="shared" si="107"/>
        <v>4.6893241911816442E-3</v>
      </c>
      <c r="G220" s="2"/>
      <c r="H220" s="7">
        <v>553.01</v>
      </c>
      <c r="I220" s="2"/>
      <c r="J220" s="6">
        <f t="shared" si="108"/>
        <v>6.1733886415788765E-4</v>
      </c>
      <c r="K220" s="2"/>
      <c r="L220" s="7">
        <f t="shared" si="109"/>
        <v>10465.039999999999</v>
      </c>
      <c r="M220" s="2"/>
      <c r="N220" s="6">
        <f t="shared" si="110"/>
        <v>18.923780763458165</v>
      </c>
      <c r="O220" s="11"/>
      <c r="P220" s="7">
        <v>14119.88</v>
      </c>
      <c r="Q220" s="2"/>
      <c r="R220" s="6">
        <f t="shared" si="111"/>
        <v>2.643041181806749E-3</v>
      </c>
      <c r="S220" s="2"/>
      <c r="T220" s="7">
        <v>2927.32</v>
      </c>
      <c r="U220" s="2"/>
      <c r="V220" s="6">
        <f t="shared" si="112"/>
        <v>8.1684363201351231E-4</v>
      </c>
      <c r="W220" s="2"/>
      <c r="X220" s="7">
        <f t="shared" si="113"/>
        <v>11192.56</v>
      </c>
      <c r="Y220" s="2"/>
      <c r="Z220" s="6">
        <f t="shared" si="114"/>
        <v>3.8234835959170841</v>
      </c>
    </row>
    <row r="221" spans="1:26" s="24" customFormat="1" hidden="1" outlineLevel="2" x14ac:dyDescent="0.25">
      <c r="A221" s="28"/>
      <c r="B221" s="11" t="str">
        <f>CONCATENATE("          ", "6241", " - ", "OFFICE EXPENSE")</f>
        <v xml:space="preserve">          6241 - OFFICE EXPENSE</v>
      </c>
      <c r="C221" s="11"/>
      <c r="D221" s="7">
        <v>2951.74</v>
      </c>
      <c r="E221" s="2"/>
      <c r="F221" s="6">
        <f t="shared" si="107"/>
        <v>1.2562718256023985E-3</v>
      </c>
      <c r="G221" s="2"/>
      <c r="H221" s="7">
        <v>5659.43</v>
      </c>
      <c r="I221" s="2"/>
      <c r="J221" s="6">
        <f t="shared" si="108"/>
        <v>6.3177629481945613E-3</v>
      </c>
      <c r="K221" s="2"/>
      <c r="L221" s="7">
        <f t="shared" si="109"/>
        <v>-2707.6900000000005</v>
      </c>
      <c r="M221" s="2"/>
      <c r="N221" s="6">
        <f t="shared" si="110"/>
        <v>-0.47843864134727354</v>
      </c>
      <c r="O221" s="11"/>
      <c r="P221" s="7">
        <v>16693.97</v>
      </c>
      <c r="Q221" s="2"/>
      <c r="R221" s="6">
        <f t="shared" si="111"/>
        <v>3.1248743047282567E-3</v>
      </c>
      <c r="S221" s="2"/>
      <c r="T221" s="7">
        <v>15326.89</v>
      </c>
      <c r="U221" s="2"/>
      <c r="V221" s="6">
        <f t="shared" si="112"/>
        <v>4.2768376860307655E-3</v>
      </c>
      <c r="W221" s="2"/>
      <c r="X221" s="7">
        <f t="shared" si="113"/>
        <v>1367.0800000000017</v>
      </c>
      <c r="Y221" s="2"/>
      <c r="Z221" s="6">
        <f t="shared" si="114"/>
        <v>8.9194872541004847E-2</v>
      </c>
    </row>
    <row r="222" spans="1:26" s="24" customFormat="1" hidden="1" outlineLevel="2" x14ac:dyDescent="0.25">
      <c r="A222" s="28"/>
      <c r="B222" s="11" t="str">
        <f>CONCATENATE("          ", "6243", " - ", "PAPER SUPPLIES")</f>
        <v xml:space="preserve">          6243 - PAPER SUPPLIES</v>
      </c>
      <c r="C222" s="11"/>
      <c r="D222" s="7">
        <v>23477.5</v>
      </c>
      <c r="E222" s="2"/>
      <c r="F222" s="6">
        <f t="shared" si="107"/>
        <v>9.9921137314195399E-3</v>
      </c>
      <c r="G222" s="2"/>
      <c r="H222" s="7"/>
      <c r="I222" s="2"/>
      <c r="J222" s="6">
        <f t="shared" si="108"/>
        <v>0</v>
      </c>
      <c r="K222" s="2"/>
      <c r="L222" s="7">
        <f t="shared" si="109"/>
        <v>23477.5</v>
      </c>
      <c r="M222" s="2"/>
      <c r="N222" s="6">
        <f t="shared" si="110"/>
        <v>0</v>
      </c>
      <c r="O222" s="11"/>
      <c r="P222" s="7">
        <v>42827.41</v>
      </c>
      <c r="Q222" s="2"/>
      <c r="R222" s="6">
        <f t="shared" si="111"/>
        <v>8.0166834519926657E-3</v>
      </c>
      <c r="S222" s="2"/>
      <c r="T222" s="7">
        <v>6784.86</v>
      </c>
      <c r="U222" s="2"/>
      <c r="V222" s="6">
        <f t="shared" si="112"/>
        <v>1.893257206285339E-3</v>
      </c>
      <c r="W222" s="2"/>
      <c r="X222" s="7">
        <f t="shared" si="113"/>
        <v>36042.550000000003</v>
      </c>
      <c r="Y222" s="2"/>
      <c r="Z222" s="6">
        <f t="shared" si="114"/>
        <v>5.3122024625416007</v>
      </c>
    </row>
    <row r="223" spans="1:26" s="24" customFormat="1" hidden="1" outlineLevel="2" x14ac:dyDescent="0.25">
      <c r="A223" s="28"/>
      <c r="B223" s="11" t="str">
        <f>CONCATENATE("          ", "6245", " - ", "PRINTING")</f>
        <v xml:space="preserve">          6245 - PRINTING</v>
      </c>
      <c r="C223" s="11"/>
      <c r="D223" s="7">
        <v>276.43</v>
      </c>
      <c r="E223" s="2"/>
      <c r="F223" s="6">
        <f t="shared" si="107"/>
        <v>1.1764966452034091E-4</v>
      </c>
      <c r="G223" s="2"/>
      <c r="H223" s="7">
        <v>356.96</v>
      </c>
      <c r="I223" s="2"/>
      <c r="J223" s="6">
        <f t="shared" si="108"/>
        <v>3.9848335644888802E-4</v>
      </c>
      <c r="K223" s="2"/>
      <c r="L223" s="7">
        <f t="shared" si="109"/>
        <v>-80.529999999999973</v>
      </c>
      <c r="M223" s="2"/>
      <c r="N223" s="6">
        <f t="shared" si="110"/>
        <v>-0.22559950694755709</v>
      </c>
      <c r="O223" s="11"/>
      <c r="P223" s="7">
        <v>-323.75</v>
      </c>
      <c r="Q223" s="2"/>
      <c r="R223" s="6">
        <f t="shared" si="111"/>
        <v>-6.0601406145798333E-5</v>
      </c>
      <c r="S223" s="2"/>
      <c r="T223" s="7">
        <v>61.46</v>
      </c>
      <c r="U223" s="2"/>
      <c r="V223" s="6">
        <f t="shared" si="112"/>
        <v>1.7149887823521333E-5</v>
      </c>
      <c r="W223" s="2"/>
      <c r="X223" s="7">
        <f t="shared" si="113"/>
        <v>-385.21</v>
      </c>
      <c r="Y223" s="2"/>
      <c r="Z223" s="6">
        <f t="shared" si="114"/>
        <v>-6.2676537585421412</v>
      </c>
    </row>
    <row r="224" spans="1:26" s="24" customFormat="1" hidden="1" outlineLevel="2" x14ac:dyDescent="0.25">
      <c r="A224" s="28"/>
      <c r="B224" s="11" t="str">
        <f>CONCATENATE("          ", "6247", " - ", "STORE SUPPLIES")</f>
        <v xml:space="preserve">          6247 - STORE SUPPLIES</v>
      </c>
      <c r="C224" s="11"/>
      <c r="D224" s="7">
        <v>4741.47</v>
      </c>
      <c r="E224" s="2"/>
      <c r="F224" s="6">
        <f t="shared" si="107"/>
        <v>2.0179877539820597E-3</v>
      </c>
      <c r="G224" s="2"/>
      <c r="H224" s="7">
        <v>6278.89</v>
      </c>
      <c r="I224" s="2"/>
      <c r="J224" s="6">
        <f t="shared" si="108"/>
        <v>7.0092816057075267E-3</v>
      </c>
      <c r="K224" s="2"/>
      <c r="L224" s="7">
        <f t="shared" si="109"/>
        <v>-1537.42</v>
      </c>
      <c r="M224" s="2"/>
      <c r="N224" s="6">
        <f t="shared" si="110"/>
        <v>-0.24485538048922659</v>
      </c>
      <c r="O224" s="11"/>
      <c r="P224" s="7">
        <v>16983.18</v>
      </c>
      <c r="Q224" s="2"/>
      <c r="R224" s="6">
        <f t="shared" si="111"/>
        <v>3.1790103129797666E-3</v>
      </c>
      <c r="S224" s="2"/>
      <c r="T224" s="7">
        <v>13570.8</v>
      </c>
      <c r="U224" s="2"/>
      <c r="V224" s="6">
        <f t="shared" si="112"/>
        <v>3.7868157773420642E-3</v>
      </c>
      <c r="W224" s="2"/>
      <c r="X224" s="7">
        <f t="shared" si="113"/>
        <v>3412.380000000001</v>
      </c>
      <c r="Y224" s="2"/>
      <c r="Z224" s="6">
        <f t="shared" si="114"/>
        <v>0.25145017242903889</v>
      </c>
    </row>
    <row r="225" spans="1:26" s="24" customFormat="1" hidden="1" outlineLevel="2" x14ac:dyDescent="0.25">
      <c r="A225" s="28"/>
      <c r="B225" s="11" t="str">
        <f>CONCATENATE("          ", "6248", " - ", "UNIFORMS")</f>
        <v xml:space="preserve">          6248 - UNIFORMS</v>
      </c>
      <c r="C225" s="11"/>
      <c r="D225" s="7"/>
      <c r="E225" s="2"/>
      <c r="F225" s="6">
        <f t="shared" si="107"/>
        <v>0</v>
      </c>
      <c r="G225" s="2"/>
      <c r="H225" s="7">
        <v>303.7</v>
      </c>
      <c r="I225" s="2"/>
      <c r="J225" s="6">
        <f t="shared" si="108"/>
        <v>3.3902788926918226E-4</v>
      </c>
      <c r="K225" s="2"/>
      <c r="L225" s="7">
        <f t="shared" si="109"/>
        <v>-303.7</v>
      </c>
      <c r="M225" s="2"/>
      <c r="N225" s="6">
        <f t="shared" si="110"/>
        <v>-1</v>
      </c>
      <c r="O225" s="11"/>
      <c r="P225" s="7"/>
      <c r="Q225" s="2"/>
      <c r="R225" s="6">
        <f t="shared" si="111"/>
        <v>0</v>
      </c>
      <c r="S225" s="2"/>
      <c r="T225" s="7">
        <v>3814.68</v>
      </c>
      <c r="U225" s="2"/>
      <c r="V225" s="6">
        <f t="shared" si="112"/>
        <v>1.0644538575110699E-3</v>
      </c>
      <c r="W225" s="2"/>
      <c r="X225" s="7">
        <f t="shared" si="113"/>
        <v>-3814.68</v>
      </c>
      <c r="Y225" s="2"/>
      <c r="Z225" s="6">
        <f t="shared" si="114"/>
        <v>-1</v>
      </c>
    </row>
    <row r="226" spans="1:26" s="27" customFormat="1" outlineLevel="1" collapsed="1" x14ac:dyDescent="0.25">
      <c r="A226" s="29"/>
      <c r="B226" s="14" t="str">
        <f>CONCATENATE("     ","Telephone/Data Lines                              ")</f>
        <v xml:space="preserve">     Telephone/Data Lines                              </v>
      </c>
      <c r="C226" s="14"/>
      <c r="D226" s="1">
        <f>SUM(OSRRefD22_22x_0)</f>
        <v>3604.77</v>
      </c>
      <c r="E226" s="1"/>
      <c r="F226" s="5">
        <f t="shared" ref="F226:F228" si="115">IF(D$12=0,0,D226/D$12)</f>
        <v>1.5342038894945891E-3</v>
      </c>
      <c r="G226" s="1"/>
      <c r="H226" s="1">
        <f>SUM(OSRRefH22_22x_0)</f>
        <v>8053.04</v>
      </c>
      <c r="I226" s="1"/>
      <c r="J226" s="5">
        <f t="shared" ref="J226:J228" si="116">IF(H$12=0,0,H226/H$12)</f>
        <v>8.989809527165939E-3</v>
      </c>
      <c r="K226" s="1"/>
      <c r="L226" s="1">
        <f t="shared" ref="L226:L228" si="117">+D226-H226</f>
        <v>-4448.2700000000004</v>
      </c>
      <c r="M226" s="1"/>
      <c r="N226" s="5">
        <f t="shared" ref="N226:N228" si="118">IF(H226=0,0,L226/H226)</f>
        <v>-0.55237152677746548</v>
      </c>
      <c r="O226" s="14"/>
      <c r="P226" s="1">
        <f>SUM(OSRRefP22_22x_0)</f>
        <v>10222.1</v>
      </c>
      <c r="Q226" s="1"/>
      <c r="R226" s="5">
        <f t="shared" ref="R226:R228" si="119">IF(P$12=0,0,P226/P$12)</f>
        <v>1.9134320733991202E-3</v>
      </c>
      <c r="S226" s="1"/>
      <c r="T226" s="1">
        <f>SUM(OSRRefT22_22x_0)</f>
        <v>17902.07</v>
      </c>
      <c r="U226" s="1"/>
      <c r="V226" s="5">
        <f t="shared" ref="V226:V228" si="120">IF(T$12=0,0,T226/T$12)</f>
        <v>4.9954196600850397E-3</v>
      </c>
      <c r="W226" s="1"/>
      <c r="X226" s="1">
        <f t="shared" ref="X226:X228" si="121">+P226-T226</f>
        <v>-7679.9699999999993</v>
      </c>
      <c r="Y226" s="1"/>
      <c r="Z226" s="5">
        <f t="shared" ref="Z226:Z228" si="122">IF(T226=0,0,X226/T226)</f>
        <v>-0.42899899285389897</v>
      </c>
    </row>
    <row r="227" spans="1:26" s="24" customFormat="1" hidden="1" outlineLevel="2" x14ac:dyDescent="0.25">
      <c r="A227" s="28"/>
      <c r="B227" s="11" t="str">
        <f>CONCATENATE("          ", "6303", " - ", "DATA PHONE LINES")</f>
        <v xml:space="preserve">          6303 - DATA PHONE LINES</v>
      </c>
      <c r="C227" s="11"/>
      <c r="D227" s="7"/>
      <c r="E227" s="2"/>
      <c r="F227" s="6">
        <f t="shared" si="115"/>
        <v>0</v>
      </c>
      <c r="G227" s="2"/>
      <c r="H227" s="7">
        <v>885</v>
      </c>
      <c r="I227" s="2"/>
      <c r="J227" s="6">
        <f t="shared" si="116"/>
        <v>9.8794758644460412E-4</v>
      </c>
      <c r="K227" s="2"/>
      <c r="L227" s="7">
        <f t="shared" si="117"/>
        <v>-885</v>
      </c>
      <c r="M227" s="2"/>
      <c r="N227" s="6">
        <f t="shared" si="118"/>
        <v>-1</v>
      </c>
      <c r="O227" s="11"/>
      <c r="P227" s="7">
        <v>295</v>
      </c>
      <c r="Q227" s="2"/>
      <c r="R227" s="6">
        <f t="shared" si="119"/>
        <v>5.5219814094240955E-5</v>
      </c>
      <c r="S227" s="2"/>
      <c r="T227" s="7">
        <v>1180</v>
      </c>
      <c r="U227" s="2"/>
      <c r="V227" s="6">
        <f t="shared" si="120"/>
        <v>3.2926891688504995E-4</v>
      </c>
      <c r="W227" s="2"/>
      <c r="X227" s="7">
        <f t="shared" si="121"/>
        <v>-885</v>
      </c>
      <c r="Y227" s="2"/>
      <c r="Z227" s="6">
        <f t="shared" si="122"/>
        <v>-0.75</v>
      </c>
    </row>
    <row r="228" spans="1:26" s="24" customFormat="1" hidden="1" outlineLevel="2" x14ac:dyDescent="0.25">
      <c r="A228" s="28"/>
      <c r="B228" s="11" t="str">
        <f>CONCATENATE("          ", "6309", " - ", "TELEPHONE")</f>
        <v xml:space="preserve">          6309 - TELEPHONE</v>
      </c>
      <c r="C228" s="11"/>
      <c r="D228" s="7">
        <v>3604.77</v>
      </c>
      <c r="E228" s="2"/>
      <c r="F228" s="6">
        <f t="shared" si="115"/>
        <v>1.5342038894945891E-3</v>
      </c>
      <c r="G228" s="2"/>
      <c r="H228" s="7">
        <v>7168.04</v>
      </c>
      <c r="I228" s="2"/>
      <c r="J228" s="6">
        <f t="shared" si="116"/>
        <v>8.0018619407213349E-3</v>
      </c>
      <c r="K228" s="2"/>
      <c r="L228" s="7">
        <f t="shared" si="117"/>
        <v>-3563.27</v>
      </c>
      <c r="M228" s="2"/>
      <c r="N228" s="6">
        <f t="shared" si="118"/>
        <v>-0.49710520588612789</v>
      </c>
      <c r="O228" s="11"/>
      <c r="P228" s="7">
        <v>9927.1</v>
      </c>
      <c r="Q228" s="2"/>
      <c r="R228" s="6">
        <f t="shared" si="119"/>
        <v>1.8582122593048794E-3</v>
      </c>
      <c r="S228" s="2"/>
      <c r="T228" s="7">
        <v>16722.07</v>
      </c>
      <c r="U228" s="2"/>
      <c r="V228" s="6">
        <f t="shared" si="120"/>
        <v>4.6661507431999894E-3</v>
      </c>
      <c r="W228" s="2"/>
      <c r="X228" s="7">
        <f t="shared" si="121"/>
        <v>-6794.9699999999993</v>
      </c>
      <c r="Y228" s="2"/>
      <c r="Z228" s="6">
        <f t="shared" si="122"/>
        <v>-0.40634741990674594</v>
      </c>
    </row>
    <row r="229" spans="1:26" s="27" customFormat="1" outlineLevel="1" collapsed="1" x14ac:dyDescent="0.25">
      <c r="A229" s="29"/>
      <c r="B229" s="14" t="str">
        <f>CONCATENATE("     ","Training                                          ")</f>
        <v xml:space="preserve">     Training                                          </v>
      </c>
      <c r="C229" s="14"/>
      <c r="D229" s="1">
        <f>SUM(OSRRefD22_23x_0)</f>
        <v>595</v>
      </c>
      <c r="E229" s="1"/>
      <c r="F229" s="5">
        <f t="shared" ref="F229:F234" si="123">IF(D$12=0,0,D229/D$12)</f>
        <v>2.5323427410050588E-4</v>
      </c>
      <c r="G229" s="1"/>
      <c r="H229" s="1">
        <f>SUM(OSRRefH22_23x_0)</f>
        <v>0</v>
      </c>
      <c r="I229" s="1"/>
      <c r="J229" s="5">
        <f t="shared" ref="J229:J234" si="124">IF(H$12=0,0,H229/H$12)</f>
        <v>0</v>
      </c>
      <c r="K229" s="1"/>
      <c r="L229" s="1">
        <f t="shared" ref="L229:L234" si="125">+D229-H229</f>
        <v>595</v>
      </c>
      <c r="M229" s="1"/>
      <c r="N229" s="5">
        <f t="shared" ref="N229:N234" si="126">IF(H229=0,0,L229/H229)</f>
        <v>0</v>
      </c>
      <c r="O229" s="14"/>
      <c r="P229" s="1">
        <f>SUM(OSRRefP22_23x_0)</f>
        <v>595</v>
      </c>
      <c r="Q229" s="1"/>
      <c r="R229" s="5">
        <f t="shared" ref="R229:R234" si="127">IF(P$12=0,0,P229/P$12)</f>
        <v>1.1137555724092667E-4</v>
      </c>
      <c r="S229" s="1"/>
      <c r="T229" s="1">
        <f>SUM(OSRRefT22_23x_0)</f>
        <v>481.63</v>
      </c>
      <c r="U229" s="1"/>
      <c r="V229" s="5">
        <f t="shared" ref="V229:V234" si="128">IF(T$12=0,0,T229/T$12)</f>
        <v>1.3439473596554797E-4</v>
      </c>
      <c r="W229" s="1"/>
      <c r="X229" s="1">
        <f t="shared" ref="X229:X234" si="129">+P229-T229</f>
        <v>113.37</v>
      </c>
      <c r="Y229" s="1"/>
      <c r="Z229" s="5">
        <f t="shared" ref="Z229:Z234" si="130">IF(T229=0,0,X229/T229)</f>
        <v>0.2353881610364803</v>
      </c>
    </row>
    <row r="230" spans="1:26" s="24" customFormat="1" hidden="1" outlineLevel="2" x14ac:dyDescent="0.25">
      <c r="A230" s="28"/>
      <c r="B230" s="11" t="str">
        <f>CONCATENATE("          ", "6376", " - ", "TRAINING")</f>
        <v xml:space="preserve">          6376 - TRAINING</v>
      </c>
      <c r="C230" s="11"/>
      <c r="D230" s="7">
        <v>595</v>
      </c>
      <c r="E230" s="2"/>
      <c r="F230" s="6">
        <f t="shared" si="123"/>
        <v>2.5323427410050588E-4</v>
      </c>
      <c r="G230" s="2"/>
      <c r="H230" s="7"/>
      <c r="I230" s="2"/>
      <c r="J230" s="6">
        <f t="shared" si="124"/>
        <v>0</v>
      </c>
      <c r="K230" s="2"/>
      <c r="L230" s="7">
        <f t="shared" si="125"/>
        <v>595</v>
      </c>
      <c r="M230" s="2"/>
      <c r="N230" s="6">
        <f t="shared" si="126"/>
        <v>0</v>
      </c>
      <c r="O230" s="11"/>
      <c r="P230" s="7">
        <v>595</v>
      </c>
      <c r="Q230" s="2"/>
      <c r="R230" s="6">
        <f t="shared" si="127"/>
        <v>1.1137555724092667E-4</v>
      </c>
      <c r="S230" s="2"/>
      <c r="T230" s="7">
        <v>481.63</v>
      </c>
      <c r="U230" s="2"/>
      <c r="V230" s="6">
        <f t="shared" si="128"/>
        <v>1.3439473596554797E-4</v>
      </c>
      <c r="W230" s="2"/>
      <c r="X230" s="7">
        <f t="shared" si="129"/>
        <v>113.37</v>
      </c>
      <c r="Y230" s="2"/>
      <c r="Z230" s="6">
        <f t="shared" si="130"/>
        <v>0.2353881610364803</v>
      </c>
    </row>
    <row r="231" spans="1:26" s="27" customFormat="1" outlineLevel="1" collapsed="1" x14ac:dyDescent="0.25">
      <c r="A231" s="29"/>
      <c r="B231" s="14" t="str">
        <f>CONCATENATE("     ","Travel                                            ")</f>
        <v xml:space="preserve">     Travel                                            </v>
      </c>
      <c r="C231" s="14"/>
      <c r="D231" s="1">
        <f>SUM(OSRRefD22_24x_0)</f>
        <v>131.41</v>
      </c>
      <c r="E231" s="1"/>
      <c r="F231" s="5">
        <f t="shared" si="123"/>
        <v>5.5928598251340289E-5</v>
      </c>
      <c r="G231" s="1"/>
      <c r="H231" s="1">
        <f>SUM(OSRRefH22_24x_0)</f>
        <v>152.52000000000001</v>
      </c>
      <c r="I231" s="1"/>
      <c r="J231" s="5">
        <f t="shared" si="124"/>
        <v>1.7026188235540231E-4</v>
      </c>
      <c r="K231" s="1"/>
      <c r="L231" s="1">
        <f t="shared" si="125"/>
        <v>-21.110000000000014</v>
      </c>
      <c r="M231" s="1"/>
      <c r="N231" s="5">
        <f t="shared" si="126"/>
        <v>-0.13840807762916346</v>
      </c>
      <c r="O231" s="14"/>
      <c r="P231" s="1">
        <f>SUM(OSRRefP22_24x_0)</f>
        <v>1409.55</v>
      </c>
      <c r="Q231" s="1"/>
      <c r="R231" s="5">
        <f t="shared" si="127"/>
        <v>2.6384775917470281E-4</v>
      </c>
      <c r="S231" s="1"/>
      <c r="T231" s="1">
        <f>SUM(OSRRefT22_24x_0)</f>
        <v>633.18000000000006</v>
      </c>
      <c r="U231" s="1"/>
      <c r="V231" s="5">
        <f t="shared" si="128"/>
        <v>1.7668346846887794E-4</v>
      </c>
      <c r="W231" s="1"/>
      <c r="X231" s="1">
        <f t="shared" si="129"/>
        <v>776.36999999999989</v>
      </c>
      <c r="Y231" s="1"/>
      <c r="Z231" s="5">
        <f t="shared" si="130"/>
        <v>1.226144224391168</v>
      </c>
    </row>
    <row r="232" spans="1:26" s="24" customFormat="1" hidden="1" outlineLevel="2" x14ac:dyDescent="0.25">
      <c r="A232" s="28"/>
      <c r="B232" s="11" t="str">
        <f>CONCATENATE("          ", "6292", " - ", "TRAVEL/CONFERENCE")</f>
        <v xml:space="preserve">          6292 - TRAVEL/CONFERENCE</v>
      </c>
      <c r="C232" s="11"/>
      <c r="D232" s="7"/>
      <c r="E232" s="2"/>
      <c r="F232" s="6">
        <f t="shared" si="123"/>
        <v>0</v>
      </c>
      <c r="G232" s="2"/>
      <c r="H232" s="7"/>
      <c r="I232" s="2"/>
      <c r="J232" s="6">
        <f t="shared" si="124"/>
        <v>0</v>
      </c>
      <c r="K232" s="2"/>
      <c r="L232" s="7">
        <f t="shared" si="125"/>
        <v>0</v>
      </c>
      <c r="M232" s="2"/>
      <c r="N232" s="6">
        <f t="shared" si="126"/>
        <v>0</v>
      </c>
      <c r="O232" s="11"/>
      <c r="P232" s="7">
        <v>1090</v>
      </c>
      <c r="Q232" s="2"/>
      <c r="R232" s="6">
        <f t="shared" si="127"/>
        <v>2.0403253343295811E-4</v>
      </c>
      <c r="S232" s="2"/>
      <c r="T232" s="7">
        <v>0.16</v>
      </c>
      <c r="U232" s="2"/>
      <c r="V232" s="6">
        <f t="shared" si="128"/>
        <v>4.4646632797972876E-8</v>
      </c>
      <c r="W232" s="2"/>
      <c r="X232" s="7">
        <f t="shared" si="129"/>
        <v>1089.8399999999999</v>
      </c>
      <c r="Y232" s="2"/>
      <c r="Z232" s="6">
        <f t="shared" si="130"/>
        <v>6811.4999999999991</v>
      </c>
    </row>
    <row r="233" spans="1:26" s="24" customFormat="1" hidden="1" outlineLevel="2" x14ac:dyDescent="0.25">
      <c r="A233" s="28"/>
      <c r="B233" s="11" t="str">
        <f>CONCATENATE("          ", "6294", " - ", "TRAVEL OPERATIONAL")</f>
        <v xml:space="preserve">          6294 - TRAVEL OPERATIONAL</v>
      </c>
      <c r="C233" s="11"/>
      <c r="D233" s="7">
        <v>27.39</v>
      </c>
      <c r="E233" s="2"/>
      <c r="F233" s="6">
        <f t="shared" si="123"/>
        <v>1.1657288685063622E-5</v>
      </c>
      <c r="G233" s="2"/>
      <c r="H233" s="7"/>
      <c r="I233" s="2"/>
      <c r="J233" s="6">
        <f t="shared" si="124"/>
        <v>0</v>
      </c>
      <c r="K233" s="2"/>
      <c r="L233" s="7">
        <f t="shared" si="125"/>
        <v>27.39</v>
      </c>
      <c r="M233" s="2"/>
      <c r="N233" s="6">
        <f t="shared" si="126"/>
        <v>0</v>
      </c>
      <c r="O233" s="11"/>
      <c r="P233" s="7">
        <v>215.53</v>
      </c>
      <c r="Q233" s="2"/>
      <c r="R233" s="6">
        <f t="shared" si="127"/>
        <v>4.0344157734683908E-5</v>
      </c>
      <c r="S233" s="2"/>
      <c r="T233" s="7">
        <v>240.92</v>
      </c>
      <c r="U233" s="2"/>
      <c r="V233" s="6">
        <f t="shared" si="128"/>
        <v>6.7226667335547658E-5</v>
      </c>
      <c r="W233" s="2"/>
      <c r="X233" s="7">
        <f t="shared" si="129"/>
        <v>-25.389999999999986</v>
      </c>
      <c r="Y233" s="2"/>
      <c r="Z233" s="6">
        <f t="shared" si="130"/>
        <v>-0.10538768055786148</v>
      </c>
    </row>
    <row r="234" spans="1:26" s="24" customFormat="1" hidden="1" outlineLevel="2" x14ac:dyDescent="0.25">
      <c r="A234" s="28"/>
      <c r="B234" s="11" t="str">
        <f>CONCATENATE("          ", "6298", " - ", "VEHICLE MILEAGE")</f>
        <v xml:space="preserve">          6298 - VEHICLE MILEAGE</v>
      </c>
      <c r="C234" s="11"/>
      <c r="D234" s="7">
        <v>104.02</v>
      </c>
      <c r="E234" s="2"/>
      <c r="F234" s="6">
        <f t="shared" si="123"/>
        <v>4.4271309566276669E-5</v>
      </c>
      <c r="G234" s="2"/>
      <c r="H234" s="7">
        <v>152.52000000000001</v>
      </c>
      <c r="I234" s="2"/>
      <c r="J234" s="6">
        <f t="shared" si="124"/>
        <v>1.7026188235540231E-4</v>
      </c>
      <c r="K234" s="2"/>
      <c r="L234" s="7">
        <f t="shared" si="125"/>
        <v>-48.500000000000014</v>
      </c>
      <c r="M234" s="2"/>
      <c r="N234" s="6">
        <f t="shared" si="126"/>
        <v>-0.31799108313663788</v>
      </c>
      <c r="O234" s="11"/>
      <c r="P234" s="7">
        <v>104.02</v>
      </c>
      <c r="Q234" s="2"/>
      <c r="R234" s="6">
        <f t="shared" si="127"/>
        <v>1.9471068007060826E-5</v>
      </c>
      <c r="S234" s="2"/>
      <c r="T234" s="7">
        <v>392.1</v>
      </c>
      <c r="U234" s="2"/>
      <c r="V234" s="6">
        <f t="shared" si="128"/>
        <v>1.0941215450053228E-4</v>
      </c>
      <c r="W234" s="2"/>
      <c r="X234" s="7">
        <f t="shared" si="129"/>
        <v>-288.08000000000004</v>
      </c>
      <c r="Y234" s="2"/>
      <c r="Z234" s="6">
        <f t="shared" si="130"/>
        <v>-0.73471053302728906</v>
      </c>
    </row>
    <row r="235" spans="1:26" s="27" customFormat="1" outlineLevel="1" collapsed="1" x14ac:dyDescent="0.25">
      <c r="A235" s="29"/>
      <c r="B235" s="14" t="str">
        <f>CONCATENATE("     ","Utilities                                         ")</f>
        <v xml:space="preserve">     Utilities                                         </v>
      </c>
      <c r="C235" s="14"/>
      <c r="D235" s="1">
        <f>SUM(OSRRefD22_25x_0)</f>
        <v>14287.6</v>
      </c>
      <c r="E235" s="1"/>
      <c r="F235" s="5">
        <f t="shared" ref="F235:F236" si="131">IF(D$12=0,0,D235/D$12)</f>
        <v>6.0808571674594745E-3</v>
      </c>
      <c r="G235" s="1"/>
      <c r="H235" s="1">
        <f>SUM(OSRRefH22_25x_0)</f>
        <v>8511.01</v>
      </c>
      <c r="I235" s="1"/>
      <c r="J235" s="5">
        <f t="shared" ref="J235:J236" si="132">IF(H$12=0,0,H235/H$12)</f>
        <v>9.5010528674642838E-3</v>
      </c>
      <c r="K235" s="1"/>
      <c r="L235" s="1">
        <f t="shared" ref="L235:L236" si="133">+D235-H235</f>
        <v>5776.59</v>
      </c>
      <c r="M235" s="1"/>
      <c r="N235" s="5">
        <f t="shared" ref="N235:N236" si="134">IF(H235=0,0,L235/H235)</f>
        <v>0.67871968191789223</v>
      </c>
      <c r="O235" s="14"/>
      <c r="P235" s="1">
        <f>SUM(OSRRefP22_25x_0)</f>
        <v>42861.38</v>
      </c>
      <c r="Q235" s="1"/>
      <c r="R235" s="5">
        <f t="shared" ref="R235:R236" si="135">IF(P$12=0,0,P235/P$12)</f>
        <v>8.0230421539749745E-3</v>
      </c>
      <c r="S235" s="1"/>
      <c r="T235" s="1">
        <f>SUM(OSRRefT22_25x_0)</f>
        <v>25532.38</v>
      </c>
      <c r="U235" s="1"/>
      <c r="V235" s="5">
        <f t="shared" ref="V235:V236" si="136">IF(T$12=0,0,T235/T$12)</f>
        <v>7.1245924644894173E-3</v>
      </c>
      <c r="W235" s="1"/>
      <c r="X235" s="1">
        <f t="shared" ref="X235:X236" si="137">+P235-T235</f>
        <v>17328.999999999996</v>
      </c>
      <c r="Y235" s="1"/>
      <c r="Z235" s="5">
        <f t="shared" ref="Z235:Z236" si="138">IF(T235=0,0,X235/T235)</f>
        <v>0.67870680289107388</v>
      </c>
    </row>
    <row r="236" spans="1:26" s="24" customFormat="1" hidden="1" outlineLevel="2" x14ac:dyDescent="0.25">
      <c r="A236" s="28"/>
      <c r="B236" s="11" t="str">
        <f>CONCATENATE("          ", "6274", " - ", "UTILITIES")</f>
        <v xml:space="preserve">          6274 - UTILITIES</v>
      </c>
      <c r="C236" s="11"/>
      <c r="D236" s="7">
        <v>14287.6</v>
      </c>
      <c r="E236" s="2"/>
      <c r="F236" s="6">
        <f t="shared" si="131"/>
        <v>6.0808571674594745E-3</v>
      </c>
      <c r="G236" s="2"/>
      <c r="H236" s="7">
        <v>8511.01</v>
      </c>
      <c r="I236" s="2"/>
      <c r="J236" s="6">
        <f t="shared" si="132"/>
        <v>9.5010528674642838E-3</v>
      </c>
      <c r="K236" s="2"/>
      <c r="L236" s="7">
        <f t="shared" si="133"/>
        <v>5776.59</v>
      </c>
      <c r="M236" s="2"/>
      <c r="N236" s="6">
        <f t="shared" si="134"/>
        <v>0.67871968191789223</v>
      </c>
      <c r="O236" s="11"/>
      <c r="P236" s="7">
        <v>42861.38</v>
      </c>
      <c r="Q236" s="2"/>
      <c r="R236" s="6">
        <f t="shared" si="135"/>
        <v>8.0230421539749745E-3</v>
      </c>
      <c r="S236" s="2"/>
      <c r="T236" s="7">
        <v>25532.38</v>
      </c>
      <c r="U236" s="2"/>
      <c r="V236" s="6">
        <f t="shared" si="136"/>
        <v>7.1245924644894173E-3</v>
      </c>
      <c r="W236" s="2"/>
      <c r="X236" s="7">
        <f t="shared" si="137"/>
        <v>17328.999999999996</v>
      </c>
      <c r="Y236" s="2"/>
      <c r="Z236" s="6">
        <f t="shared" si="138"/>
        <v>0.67870680289107388</v>
      </c>
    </row>
    <row r="237" spans="1:26" s="54" customFormat="1" x14ac:dyDescent="0.25">
      <c r="A237" s="37"/>
      <c r="B237" s="37"/>
      <c r="C237" s="37"/>
      <c r="D237" s="1"/>
      <c r="E237" s="1"/>
      <c r="F237" s="5"/>
      <c r="G237" s="1"/>
      <c r="H237" s="1"/>
      <c r="I237" s="1"/>
      <c r="J237" s="5"/>
      <c r="K237" s="1"/>
      <c r="L237" s="1"/>
      <c r="M237" s="1"/>
      <c r="N237" s="5"/>
      <c r="O237" s="37"/>
      <c r="P237" s="1"/>
      <c r="Q237" s="1"/>
      <c r="R237" s="5"/>
      <c r="S237" s="1"/>
      <c r="T237" s="1"/>
      <c r="U237" s="1"/>
      <c r="V237" s="5"/>
      <c r="W237" s="1"/>
      <c r="X237" s="1"/>
      <c r="Y237" s="1"/>
      <c r="Z237" s="5"/>
    </row>
    <row r="238" spans="1:26" s="23" customFormat="1" collapsed="1" x14ac:dyDescent="0.25">
      <c r="A238" s="10"/>
      <c r="B238" s="26" t="s">
        <v>292</v>
      </c>
      <c r="C238" s="10"/>
      <c r="D238" s="4">
        <f>SUM(OSRRefD25x_0)</f>
        <v>183399.97999999995</v>
      </c>
      <c r="E238" s="4"/>
      <c r="F238" s="12">
        <f t="shared" ref="F238:F246" si="139">IF(D$12=0,0,D238/D$12)</f>
        <v>7.8055732445961812E-2</v>
      </c>
      <c r="G238" s="4"/>
      <c r="H238" s="4">
        <f>SUM(OSRRefH25x_0)</f>
        <v>168011.96</v>
      </c>
      <c r="I238" s="4"/>
      <c r="J238" s="12">
        <f t="shared" ref="J238:J246" si="140">IF(H$12=0,0,H238/H$12)</f>
        <v>0.18755594392748856</v>
      </c>
      <c r="K238" s="4"/>
      <c r="L238" s="4">
        <f t="shared" ref="L238:L246" si="141">+D238-H238</f>
        <v>15388.01999999996</v>
      </c>
      <c r="M238" s="4"/>
      <c r="N238" s="12">
        <f t="shared" ref="N238:N246" si="142">IF(H238=0,0,L238/H238)</f>
        <v>9.1588836889944986E-2</v>
      </c>
      <c r="O238" s="10"/>
      <c r="P238" s="4">
        <f>SUM(OSRRefP25x_0)</f>
        <v>385545.33999999997</v>
      </c>
      <c r="Q238" s="4"/>
      <c r="R238" s="12">
        <f t="shared" ref="R238:R246" si="143">IF(P$12=0,0,P238/P$12)</f>
        <v>7.2168616948138711E-2</v>
      </c>
      <c r="S238" s="4"/>
      <c r="T238" s="4">
        <f>SUM(OSRRefT25x_0)</f>
        <v>425542.84</v>
      </c>
      <c r="U238" s="4"/>
      <c r="V238" s="12">
        <f t="shared" ref="V238:V246" si="144">IF(T$12=0,0,T238/T$12)</f>
        <v>0.11874409323304079</v>
      </c>
      <c r="W238" s="4"/>
      <c r="X238" s="4">
        <f t="shared" ref="X238:X246" si="145">+P238-T238</f>
        <v>-39997.500000000058</v>
      </c>
      <c r="Y238" s="4"/>
      <c r="Z238" s="12">
        <f t="shared" ref="Z238:Z246" si="146">IF(T238=0,0,X238/T238)</f>
        <v>-9.3991711856789922E-2</v>
      </c>
    </row>
    <row r="239" spans="1:26" s="24" customFormat="1" hidden="1" outlineLevel="1" x14ac:dyDescent="0.25">
      <c r="A239" s="44"/>
      <c r="B239" s="11" t="str">
        <f>CONCATENATE("          ", "4187", " - ", "NON-TAXABLE SALES-COMPUTER REP")</f>
        <v xml:space="preserve">          4187 - NON-TAXABLE SALES-COMPUTER REP</v>
      </c>
      <c r="C239" s="11"/>
      <c r="D239" s="2">
        <f>0</f>
        <v>0</v>
      </c>
      <c r="E239" s="2"/>
      <c r="F239" s="19">
        <f t="shared" si="139"/>
        <v>0</v>
      </c>
      <c r="G239" s="2"/>
      <c r="H239" s="2">
        <f>--125.14</f>
        <v>125.14</v>
      </c>
      <c r="I239" s="2"/>
      <c r="J239" s="19">
        <f t="shared" si="140"/>
        <v>1.3969690504822348E-4</v>
      </c>
      <c r="K239" s="2"/>
      <c r="L239" s="2">
        <f t="shared" si="141"/>
        <v>-125.14</v>
      </c>
      <c r="M239" s="2"/>
      <c r="N239" s="19">
        <f t="shared" si="142"/>
        <v>-1</v>
      </c>
      <c r="O239" s="11"/>
      <c r="P239" s="2">
        <f>0</f>
        <v>0</v>
      </c>
      <c r="Q239" s="2"/>
      <c r="R239" s="19">
        <f t="shared" si="143"/>
        <v>0</v>
      </c>
      <c r="S239" s="2"/>
      <c r="T239" s="2">
        <f>--145.13</f>
        <v>145.13</v>
      </c>
      <c r="U239" s="2"/>
      <c r="V239" s="19">
        <f t="shared" si="144"/>
        <v>4.0497286362311273E-5</v>
      </c>
      <c r="W239" s="2"/>
      <c r="X239" s="2">
        <f t="shared" si="145"/>
        <v>-145.13</v>
      </c>
      <c r="Y239" s="2"/>
      <c r="Z239" s="19">
        <f t="shared" si="146"/>
        <v>-1</v>
      </c>
    </row>
    <row r="240" spans="1:26" s="24" customFormat="1" hidden="1" outlineLevel="1" x14ac:dyDescent="0.25">
      <c r="A240" s="44"/>
      <c r="B240" s="11" t="str">
        <f>CONCATENATE("          ", "9087", " - ", "")</f>
        <v xml:space="preserve">          9087 - </v>
      </c>
      <c r="C240" s="11"/>
      <c r="D240" s="2">
        <f>-656.36</f>
        <v>-656.36</v>
      </c>
      <c r="E240" s="2"/>
      <c r="F240" s="19">
        <f t="shared" si="139"/>
        <v>-2.793493246195093E-4</v>
      </c>
      <c r="G240" s="2"/>
      <c r="H240" s="2">
        <f>0</f>
        <v>0</v>
      </c>
      <c r="I240" s="2"/>
      <c r="J240" s="19">
        <f t="shared" si="140"/>
        <v>0</v>
      </c>
      <c r="K240" s="2"/>
      <c r="L240" s="2">
        <f t="shared" si="141"/>
        <v>-656.36</v>
      </c>
      <c r="M240" s="2"/>
      <c r="N240" s="19">
        <f t="shared" si="142"/>
        <v>0</v>
      </c>
      <c r="O240" s="11"/>
      <c r="P240" s="2">
        <f>--363.65</f>
        <v>363.65</v>
      </c>
      <c r="Q240" s="2"/>
      <c r="R240" s="19">
        <f t="shared" si="143"/>
        <v>6.8070119984307528E-5</v>
      </c>
      <c r="S240" s="2"/>
      <c r="T240" s="2">
        <f>0</f>
        <v>0</v>
      </c>
      <c r="U240" s="2"/>
      <c r="V240" s="19">
        <f t="shared" si="144"/>
        <v>0</v>
      </c>
      <c r="W240" s="2"/>
      <c r="X240" s="2">
        <f t="shared" si="145"/>
        <v>363.65</v>
      </c>
      <c r="Y240" s="2"/>
      <c r="Z240" s="19">
        <f t="shared" si="146"/>
        <v>0</v>
      </c>
    </row>
    <row r="241" spans="1:26" s="24" customFormat="1" hidden="1" outlineLevel="1" x14ac:dyDescent="0.25">
      <c r="A241" s="44"/>
      <c r="B241" s="11" t="str">
        <f>CONCATENATE("          ", "9150", " - ", "MISC. INCOME")</f>
        <v xml:space="preserve">          9150 - MISC. INCOME</v>
      </c>
      <c r="C241" s="11"/>
      <c r="D241" s="2">
        <f>--38266.59</f>
        <v>38266.589999999997</v>
      </c>
      <c r="E241" s="2"/>
      <c r="F241" s="19">
        <f t="shared" si="139"/>
        <v>1.6286406959582649E-2</v>
      </c>
      <c r="G241" s="2"/>
      <c r="H241" s="2">
        <f>--19434.2</f>
        <v>19434.2</v>
      </c>
      <c r="I241" s="2"/>
      <c r="J241" s="19">
        <f t="shared" si="140"/>
        <v>2.1694882468340934E-2</v>
      </c>
      <c r="K241" s="2"/>
      <c r="L241" s="2">
        <f t="shared" si="141"/>
        <v>18832.389999999996</v>
      </c>
      <c r="M241" s="2"/>
      <c r="N241" s="19">
        <f t="shared" si="142"/>
        <v>0.96903345648393013</v>
      </c>
      <c r="O241" s="11"/>
      <c r="P241" s="2">
        <f>--151768.98</f>
        <v>151768.98000000001</v>
      </c>
      <c r="Q241" s="2"/>
      <c r="R241" s="19">
        <f t="shared" si="143"/>
        <v>2.8408999528381607E-2</v>
      </c>
      <c r="S241" s="2"/>
      <c r="T241" s="2">
        <f>--112544.24</f>
        <v>112544.24</v>
      </c>
      <c r="U241" s="2"/>
      <c r="V241" s="19">
        <f t="shared" si="144"/>
        <v>3.1404508480043322E-2</v>
      </c>
      <c r="W241" s="2"/>
      <c r="X241" s="2">
        <f t="shared" si="145"/>
        <v>39224.740000000005</v>
      </c>
      <c r="Y241" s="2"/>
      <c r="Z241" s="19">
        <f t="shared" si="146"/>
        <v>0.34852729913143493</v>
      </c>
    </row>
    <row r="242" spans="1:26" s="24" customFormat="1" hidden="1" outlineLevel="1" x14ac:dyDescent="0.25">
      <c r="A242" s="44"/>
      <c r="B242" s="11" t="str">
        <f>CONCATENATE("          ", "9151", " - ", "MISC. INCOME")</f>
        <v xml:space="preserve">          9151 - MISC. INCOME</v>
      </c>
      <c r="C242" s="11"/>
      <c r="D242" s="2">
        <f>--156907</f>
        <v>156907</v>
      </c>
      <c r="E242" s="2"/>
      <c r="F242" s="19">
        <f t="shared" si="139"/>
        <v>6.678021890132449E-2</v>
      </c>
      <c r="G242" s="2"/>
      <c r="H242" s="2">
        <f>--147285.39</f>
        <v>147285.39000000001</v>
      </c>
      <c r="I242" s="2"/>
      <c r="J242" s="19">
        <f t="shared" si="140"/>
        <v>0.16441835657520029</v>
      </c>
      <c r="K242" s="2"/>
      <c r="L242" s="2">
        <f t="shared" si="141"/>
        <v>9621.609999999986</v>
      </c>
      <c r="M242" s="2"/>
      <c r="N242" s="19">
        <f t="shared" si="142"/>
        <v>6.5326302900783201E-2</v>
      </c>
      <c r="O242" s="11"/>
      <c r="P242" s="2">
        <f>--168463.36</f>
        <v>168463.35999999999</v>
      </c>
      <c r="Q242" s="2"/>
      <c r="R242" s="19">
        <f t="shared" si="143"/>
        <v>3.1533950579292161E-2</v>
      </c>
      <c r="S242" s="2"/>
      <c r="T242" s="2">
        <f>--147285.39</f>
        <v>147285.39000000001</v>
      </c>
      <c r="U242" s="2"/>
      <c r="V242" s="19">
        <f t="shared" si="144"/>
        <v>4.1098729523976418E-2</v>
      </c>
      <c r="W242" s="2"/>
      <c r="X242" s="2">
        <f t="shared" si="145"/>
        <v>21177.969999999972</v>
      </c>
      <c r="Y242" s="2"/>
      <c r="Z242" s="19">
        <f t="shared" si="146"/>
        <v>0.14378866770152809</v>
      </c>
    </row>
    <row r="243" spans="1:26" s="24" customFormat="1" hidden="1" outlineLevel="1" x14ac:dyDescent="0.25">
      <c r="A243" s="44"/>
      <c r="B243" s="11" t="str">
        <f>CONCATENATE("          ", "9152", " - ", "MISC. INCOME")</f>
        <v xml:space="preserve">          9152 - MISC. INCOME</v>
      </c>
      <c r="C243" s="11"/>
      <c r="D243" s="2">
        <f>--935.08</f>
        <v>935.08</v>
      </c>
      <c r="E243" s="2"/>
      <c r="F243" s="19">
        <f t="shared" si="139"/>
        <v>3.9797362189227062E-4</v>
      </c>
      <c r="G243" s="2"/>
      <c r="H243" s="2">
        <f>--542.55</f>
        <v>542.54999999999995</v>
      </c>
      <c r="I243" s="2"/>
      <c r="J243" s="19">
        <f t="shared" si="140"/>
        <v>6.0566210511358188E-4</v>
      </c>
      <c r="K243" s="2"/>
      <c r="L243" s="2">
        <f t="shared" si="141"/>
        <v>392.53000000000009</v>
      </c>
      <c r="M243" s="2"/>
      <c r="N243" s="19">
        <f t="shared" si="142"/>
        <v>0.72349092249562275</v>
      </c>
      <c r="O243" s="11"/>
      <c r="P243" s="2">
        <f>--1938.11</f>
        <v>1938.11</v>
      </c>
      <c r="Q243" s="2"/>
      <c r="R243" s="19">
        <f t="shared" si="143"/>
        <v>3.627866911667435E-4</v>
      </c>
      <c r="S243" s="2"/>
      <c r="T243" s="2">
        <f>--2088.94</f>
        <v>2088.94</v>
      </c>
      <c r="U243" s="2"/>
      <c r="V243" s="19">
        <f t="shared" si="144"/>
        <v>5.8290085698123415E-4</v>
      </c>
      <c r="W243" s="2"/>
      <c r="X243" s="2">
        <f t="shared" si="145"/>
        <v>-150.83000000000015</v>
      </c>
      <c r="Y243" s="2"/>
      <c r="Z243" s="19">
        <f t="shared" si="146"/>
        <v>-7.2204084368148513E-2</v>
      </c>
    </row>
    <row r="244" spans="1:26" s="24" customFormat="1" hidden="1" outlineLevel="1" x14ac:dyDescent="0.25">
      <c r="A244" s="44"/>
      <c r="B244" s="11" t="str">
        <f>CONCATENATE("          ", "9160", " - ", "MISC. INCOME")</f>
        <v xml:space="preserve">          9160 - MISC. INCOME</v>
      </c>
      <c r="C244" s="11"/>
      <c r="D244" s="2">
        <f>-11238.12</f>
        <v>-11238.12</v>
      </c>
      <c r="E244" s="2"/>
      <c r="F244" s="19">
        <f t="shared" si="139"/>
        <v>-4.7829868242930708E-3</v>
      </c>
      <c r="G244" s="2"/>
      <c r="H244" s="2">
        <f t="shared" ref="H244:H245" si="147">0</f>
        <v>0</v>
      </c>
      <c r="I244" s="2"/>
      <c r="J244" s="19">
        <f t="shared" si="140"/>
        <v>0</v>
      </c>
      <c r="K244" s="2"/>
      <c r="L244" s="2">
        <f t="shared" si="141"/>
        <v>-11238.12</v>
      </c>
      <c r="M244" s="2"/>
      <c r="N244" s="19">
        <f t="shared" si="142"/>
        <v>0</v>
      </c>
      <c r="O244" s="11"/>
      <c r="P244" s="2">
        <f>0</f>
        <v>0</v>
      </c>
      <c r="Q244" s="2"/>
      <c r="R244" s="19">
        <f t="shared" si="143"/>
        <v>0</v>
      </c>
      <c r="S244" s="2"/>
      <c r="T244" s="2">
        <f>--1990.06</f>
        <v>1990.06</v>
      </c>
      <c r="U244" s="2"/>
      <c r="V244" s="19">
        <f t="shared" si="144"/>
        <v>5.5530923791208687E-4</v>
      </c>
      <c r="W244" s="2"/>
      <c r="X244" s="2">
        <f t="shared" si="145"/>
        <v>-1990.06</v>
      </c>
      <c r="Y244" s="2"/>
      <c r="Z244" s="19">
        <f t="shared" si="146"/>
        <v>-1</v>
      </c>
    </row>
    <row r="245" spans="1:26" s="24" customFormat="1" hidden="1" outlineLevel="1" x14ac:dyDescent="0.25">
      <c r="A245" s="44"/>
      <c r="B245" s="11" t="str">
        <f>CONCATENATE("          ", "9163", " - ", "MISC. INCOME")</f>
        <v xml:space="preserve">          9163 - MISC. INCOME</v>
      </c>
      <c r="C245" s="11"/>
      <c r="D245" s="2">
        <f>-308.7</f>
        <v>-308.7</v>
      </c>
      <c r="E245" s="2"/>
      <c r="F245" s="19">
        <f t="shared" si="139"/>
        <v>-1.3138389985685068E-4</v>
      </c>
      <c r="G245" s="2"/>
      <c r="H245" s="2">
        <f t="shared" si="147"/>
        <v>0</v>
      </c>
      <c r="I245" s="2"/>
      <c r="J245" s="19">
        <f t="shared" si="140"/>
        <v>0</v>
      </c>
      <c r="K245" s="2"/>
      <c r="L245" s="2">
        <f t="shared" si="141"/>
        <v>-308.7</v>
      </c>
      <c r="M245" s="2"/>
      <c r="N245" s="19">
        <f t="shared" si="142"/>
        <v>0</v>
      </c>
      <c r="O245" s="11"/>
      <c r="P245" s="2">
        <f>--63011.24</f>
        <v>63011.24</v>
      </c>
      <c r="Q245" s="2"/>
      <c r="R245" s="19">
        <f t="shared" si="143"/>
        <v>1.1794810029313896E-2</v>
      </c>
      <c r="S245" s="2"/>
      <c r="T245" s="2">
        <f>--160663.9</f>
        <v>160663.9</v>
      </c>
      <c r="U245" s="2"/>
      <c r="V245" s="19">
        <f t="shared" si="144"/>
        <v>4.4831888419938966E-2</v>
      </c>
      <c r="W245" s="2"/>
      <c r="X245" s="2">
        <f t="shared" si="145"/>
        <v>-97652.66</v>
      </c>
      <c r="Y245" s="2"/>
      <c r="Z245" s="19">
        <f t="shared" si="146"/>
        <v>-0.60780710539206384</v>
      </c>
    </row>
    <row r="246" spans="1:26" s="24" customFormat="1" hidden="1" outlineLevel="1" x14ac:dyDescent="0.25">
      <c r="A246" s="44"/>
      <c r="B246" s="11" t="str">
        <f>CONCATENATE("          ", "9165", " - ", "OTHER INCOME")</f>
        <v xml:space="preserve">          9165 - OTHER INCOME</v>
      </c>
      <c r="C246" s="11"/>
      <c r="D246" s="2">
        <f>-505.51</f>
        <v>-505.51</v>
      </c>
      <c r="E246" s="2"/>
      <c r="F246" s="19">
        <f t="shared" si="139"/>
        <v>-2.1514698806814574E-4</v>
      </c>
      <c r="G246" s="2"/>
      <c r="H246" s="2">
        <f>--624.68</f>
        <v>624.67999999999995</v>
      </c>
      <c r="I246" s="2"/>
      <c r="J246" s="19">
        <f t="shared" si="140"/>
        <v>6.9734587378555404E-4</v>
      </c>
      <c r="K246" s="2"/>
      <c r="L246" s="2">
        <f t="shared" si="141"/>
        <v>-1130.19</v>
      </c>
      <c r="M246" s="2"/>
      <c r="N246" s="19">
        <f t="shared" si="142"/>
        <v>-1.8092303259268747</v>
      </c>
      <c r="O246" s="11"/>
      <c r="P246" s="2">
        <f>0</f>
        <v>0</v>
      </c>
      <c r="Q246" s="2"/>
      <c r="R246" s="19">
        <f t="shared" si="143"/>
        <v>0</v>
      </c>
      <c r="S246" s="2"/>
      <c r="T246" s="2">
        <f>--825.18</f>
        <v>825.18</v>
      </c>
      <c r="U246" s="2"/>
      <c r="V246" s="19">
        <f t="shared" si="144"/>
        <v>2.3025942782644535E-4</v>
      </c>
      <c r="W246" s="2"/>
      <c r="X246" s="2">
        <f t="shared" si="145"/>
        <v>-825.18</v>
      </c>
      <c r="Y246" s="2"/>
      <c r="Z246" s="19">
        <f t="shared" si="146"/>
        <v>-1</v>
      </c>
    </row>
    <row r="247" spans="1:26" x14ac:dyDescent="0.25">
      <c r="A247" s="9"/>
      <c r="B247" s="10"/>
      <c r="C247" s="10"/>
      <c r="D247" s="3"/>
      <c r="E247" s="3"/>
      <c r="F247" s="8"/>
      <c r="G247" s="3"/>
      <c r="H247" s="3"/>
      <c r="I247" s="3"/>
      <c r="J247" s="8"/>
      <c r="K247" s="3"/>
      <c r="L247" s="3"/>
      <c r="M247" s="3"/>
      <c r="N247" s="8"/>
      <c r="O247" s="10"/>
      <c r="P247" s="3"/>
      <c r="Q247" s="3"/>
      <c r="R247" s="8"/>
      <c r="S247" s="3"/>
      <c r="T247" s="3"/>
      <c r="U247" s="3"/>
      <c r="V247" s="8"/>
      <c r="W247" s="3"/>
      <c r="X247" s="3"/>
      <c r="Y247" s="3"/>
      <c r="Z247" s="8"/>
    </row>
    <row r="248" spans="1:26" s="23" customFormat="1" x14ac:dyDescent="0.25">
      <c r="A248" s="10"/>
      <c r="B248" s="25" t="s">
        <v>276</v>
      </c>
      <c r="C248" s="25"/>
      <c r="D248" s="21">
        <f>+D142-D144+D238</f>
        <v>599789.19999999984</v>
      </c>
      <c r="E248" s="13"/>
      <c r="F248" s="22">
        <f>IF(D$12=0,0,D248/D$12)</f>
        <v>0.25527257592491276</v>
      </c>
      <c r="G248" s="13"/>
      <c r="H248" s="21">
        <f>+H142-H144+H238</f>
        <v>-164659.3299999997</v>
      </c>
      <c r="I248" s="13"/>
      <c r="J248" s="22">
        <f>IF(H$12=0,0,H248/H$12)</f>
        <v>-0.18381331938879697</v>
      </c>
      <c r="K248" s="16"/>
      <c r="L248" s="21">
        <f>+D248-H248</f>
        <v>764448.52999999956</v>
      </c>
      <c r="M248" s="16"/>
      <c r="N248" s="22">
        <f>IF(H248=0,0,L248/H248)</f>
        <v>-4.6426068295067218</v>
      </c>
      <c r="O248" s="26"/>
      <c r="P248" s="21">
        <f>+P142-P144+P238</f>
        <v>285973.89000000071</v>
      </c>
      <c r="Q248" s="13"/>
      <c r="R248" s="22">
        <f>IF(P$12=0,0,P248/P$12)</f>
        <v>5.3530254378328652E-2</v>
      </c>
      <c r="S248" s="13"/>
      <c r="T248" s="21">
        <f>+T142-T144+T238</f>
        <v>-473122.69000000024</v>
      </c>
      <c r="U248" s="13"/>
      <c r="V248" s="22">
        <f>IF(T$12=0,0,T248/T$12)</f>
        <v>-0.13202084380511978</v>
      </c>
      <c r="W248" s="16"/>
      <c r="X248" s="21">
        <f>+P248-T248</f>
        <v>759096.58000000101</v>
      </c>
      <c r="Y248" s="16"/>
      <c r="Z248" s="22">
        <f>IF(T248=0,0,X248/T248)</f>
        <v>-1.6044391783450518</v>
      </c>
    </row>
    <row r="249" spans="1:26" x14ac:dyDescent="0.25">
      <c r="A249" s="9"/>
      <c r="B249" s="10"/>
      <c r="C249" s="9"/>
      <c r="D249" s="3"/>
      <c r="E249" s="3"/>
      <c r="F249" s="8"/>
      <c r="G249" s="3"/>
      <c r="H249" s="3"/>
      <c r="I249" s="3"/>
      <c r="J249" s="8"/>
      <c r="K249" s="3"/>
      <c r="L249" s="3"/>
      <c r="M249" s="3"/>
      <c r="N249" s="8"/>
      <c r="P249" s="3"/>
      <c r="Q249" s="3"/>
      <c r="R249" s="8"/>
      <c r="S249" s="3"/>
      <c r="T249" s="3"/>
      <c r="U249" s="3"/>
      <c r="V249" s="8"/>
      <c r="W249" s="3"/>
      <c r="X249" s="3"/>
      <c r="Y249" s="3"/>
      <c r="Z249" s="8"/>
    </row>
    <row r="250" spans="1:26" s="23" customFormat="1" x14ac:dyDescent="0.25">
      <c r="A250" s="51"/>
      <c r="B250" s="10" t="s">
        <v>127</v>
      </c>
      <c r="C250" s="10"/>
      <c r="D250" s="4">
        <v>214039.09</v>
      </c>
      <c r="E250" s="4"/>
      <c r="F250" s="12">
        <f>IF(D$12=0,0,D250/D$12)</f>
        <v>9.1095854765181242E-2</v>
      </c>
      <c r="G250" s="4"/>
      <c r="H250" s="4">
        <v>210081.48</v>
      </c>
      <c r="I250" s="4"/>
      <c r="J250" s="12">
        <f>IF(H$12=0,0,H250/H$12)</f>
        <v>0.23451919900871232</v>
      </c>
      <c r="K250" s="4"/>
      <c r="L250" s="4">
        <f>+D250-H250</f>
        <v>3957.609999999986</v>
      </c>
      <c r="M250" s="4"/>
      <c r="N250" s="12">
        <f>IF(H250=0,0,L250/H250)</f>
        <v>1.8838452585158795E-2</v>
      </c>
      <c r="O250" s="10"/>
      <c r="P250" s="4">
        <v>661244.69999999995</v>
      </c>
      <c r="Q250" s="4"/>
      <c r="R250" s="12">
        <f>IF(P$12=0,0,P250/P$12)</f>
        <v>0.12377562510102416</v>
      </c>
      <c r="S250" s="4"/>
      <c r="T250" s="4">
        <v>663897.74</v>
      </c>
      <c r="U250" s="4"/>
      <c r="V250" s="12">
        <f>IF(T$12=0,0,T250/T$12)</f>
        <v>0.18525499133240045</v>
      </c>
      <c r="W250" s="4"/>
      <c r="X250" s="4">
        <f>+P250-T250</f>
        <v>-2653.0400000000373</v>
      </c>
      <c r="Y250" s="4"/>
      <c r="Z250" s="12">
        <f>IF(T250=0,0,X250/T250)</f>
        <v>-3.9961576010185502E-3</v>
      </c>
    </row>
    <row r="251" spans="1:26" x14ac:dyDescent="0.25">
      <c r="A251" s="9"/>
      <c r="B251" s="10"/>
      <c r="C251" s="10"/>
      <c r="D251" s="3"/>
      <c r="E251" s="3"/>
      <c r="F251" s="8"/>
      <c r="G251" s="3"/>
      <c r="H251" s="3"/>
      <c r="I251" s="3"/>
      <c r="J251" s="8"/>
      <c r="K251" s="3"/>
      <c r="L251" s="3"/>
      <c r="M251" s="3"/>
      <c r="N251" s="8"/>
      <c r="O251" s="10"/>
      <c r="P251" s="3"/>
      <c r="Q251" s="3"/>
      <c r="R251" s="8"/>
      <c r="S251" s="3"/>
      <c r="T251" s="3"/>
      <c r="U251" s="3"/>
      <c r="V251" s="8"/>
      <c r="W251" s="3"/>
      <c r="X251" s="3"/>
      <c r="Y251" s="3"/>
      <c r="Z251" s="8"/>
    </row>
    <row r="252" spans="1:26" s="23" customFormat="1" ht="15.75" thickBot="1" x14ac:dyDescent="0.3">
      <c r="A252" s="10"/>
      <c r="B252" s="25" t="s">
        <v>125</v>
      </c>
      <c r="C252" s="25"/>
      <c r="D252" s="33">
        <f>+D248-D250</f>
        <v>385750.10999999987</v>
      </c>
      <c r="E252" s="13"/>
      <c r="F252" s="35">
        <f>IF(D$12=0,0,D252/D$12)</f>
        <v>0.1641767211597315</v>
      </c>
      <c r="G252" s="13"/>
      <c r="H252" s="33">
        <f>+H248-H250</f>
        <v>-374740.80999999971</v>
      </c>
      <c r="I252" s="13"/>
      <c r="J252" s="35">
        <f>IF(H$12=0,0,H252/H$12)</f>
        <v>-0.41833251839750929</v>
      </c>
      <c r="K252" s="16"/>
      <c r="L252" s="33">
        <f>D252-H252</f>
        <v>760490.91999999958</v>
      </c>
      <c r="M252" s="16"/>
      <c r="N252" s="35">
        <f>IF(H252=0,0,L252/H252)</f>
        <v>-2.0293784389268952</v>
      </c>
      <c r="O252" s="26"/>
      <c r="P252" s="33">
        <f>+P248-P250</f>
        <v>-375270.80999999924</v>
      </c>
      <c r="Q252" s="13"/>
      <c r="R252" s="35">
        <f>IF(P$12=0,0,P252/P$12)</f>
        <v>-7.0245370722695516E-2</v>
      </c>
      <c r="S252" s="13"/>
      <c r="T252" s="33">
        <f>+T248-T250</f>
        <v>-1137020.4300000002</v>
      </c>
      <c r="U252" s="13"/>
      <c r="V252" s="35">
        <f>IF(T$12=0,0,T252/T$12)</f>
        <v>-0.31727583513752022</v>
      </c>
      <c r="W252" s="16"/>
      <c r="X252" s="33">
        <f>P252-T252</f>
        <v>761749.62000000093</v>
      </c>
      <c r="Y252" s="16"/>
      <c r="Z252" s="35">
        <f>IF(T252=0,0,X252/T252)</f>
        <v>-0.66995244755628602</v>
      </c>
    </row>
    <row r="253" spans="1:26" ht="15.75" thickTop="1" x14ac:dyDescent="0.25">
      <c r="A253" s="9"/>
      <c r="B253" s="9"/>
      <c r="C253" s="9"/>
      <c r="D253" s="3"/>
      <c r="E253" s="3"/>
      <c r="F253" s="8"/>
      <c r="G253" s="3"/>
      <c r="H253" s="3"/>
      <c r="I253" s="3"/>
      <c r="J253" s="8"/>
      <c r="K253" s="3"/>
      <c r="L253" s="3"/>
      <c r="M253" s="3"/>
      <c r="N253" s="8"/>
      <c r="P253" s="3"/>
      <c r="Q253" s="3"/>
      <c r="R253" s="8"/>
      <c r="S253" s="3"/>
      <c r="T253" s="3"/>
      <c r="U253" s="3"/>
      <c r="V253" s="8"/>
      <c r="W253" s="3"/>
      <c r="X253" s="3"/>
      <c r="Y253" s="3"/>
      <c r="Z253" s="8"/>
    </row>
    <row r="254" spans="1:26" s="23" customFormat="1" x14ac:dyDescent="0.25">
      <c r="A254" s="51"/>
      <c r="B254" s="10" t="s">
        <v>183</v>
      </c>
      <c r="C254" s="10"/>
      <c r="D254" s="4">
        <f>-372468.37</f>
        <v>-372468.37</v>
      </c>
      <c r="E254" s="4"/>
      <c r="F254" s="12">
        <f t="shared" ref="F254:F255" si="148">IF(D$12=0,0,D254/D$12)</f>
        <v>-0.15852396185268677</v>
      </c>
      <c r="G254" s="4"/>
      <c r="H254" s="4">
        <f>-231583.65</f>
        <v>-231583.65</v>
      </c>
      <c r="I254" s="4"/>
      <c r="J254" s="12">
        <f t="shared" ref="J254:J255" si="149">IF(H$12=0,0,H254/H$12)</f>
        <v>-0.25852260799721127</v>
      </c>
      <c r="K254" s="4"/>
      <c r="L254" s="4">
        <f t="shared" ref="L254:L255" si="150">+D254-H254</f>
        <v>-140884.72</v>
      </c>
      <c r="M254" s="4"/>
      <c r="N254" s="12">
        <f t="shared" ref="N254:N255" si="151">IF(H254=0,0,L254/H254)</f>
        <v>0.60835348264007416</v>
      </c>
      <c r="O254" s="10"/>
      <c r="P254" s="4">
        <f>-219609.57</f>
        <v>-219609.57</v>
      </c>
      <c r="Q254" s="4"/>
      <c r="R254" s="12">
        <f t="shared" ref="R254:R255" si="152">IF(P$12=0,0,P254/P$12)</f>
        <v>-4.1107795351580323E-2</v>
      </c>
      <c r="S254" s="4"/>
      <c r="T254" s="4">
        <f>--719759.06</f>
        <v>719759.06</v>
      </c>
      <c r="U254" s="4"/>
      <c r="V254" s="12">
        <f t="shared" ref="V254:V255" si="153">IF(T$12=0,0,T254/T$12)</f>
        <v>0.2008426153427133</v>
      </c>
      <c r="W254" s="4"/>
      <c r="X254" s="4">
        <f t="shared" ref="X254:X255" si="154">+P254-T254</f>
        <v>-939368.63000000012</v>
      </c>
      <c r="Y254" s="4"/>
      <c r="Z254" s="12">
        <f t="shared" ref="Z254:Z255" si="155">IF(T254=0,0,X254/T254)</f>
        <v>-1.3051153951434804</v>
      </c>
    </row>
    <row r="255" spans="1:26" s="23" customFormat="1" x14ac:dyDescent="0.25">
      <c r="A255" s="51"/>
      <c r="B255" s="10" t="s">
        <v>81</v>
      </c>
      <c r="C255" s="10"/>
      <c r="D255" s="4">
        <f>--15112.29</f>
        <v>15112.29</v>
      </c>
      <c r="E255" s="4"/>
      <c r="F255" s="12">
        <f t="shared" si="148"/>
        <v>6.4318483834392166E-3</v>
      </c>
      <c r="G255" s="4"/>
      <c r="H255" s="4">
        <f>--23302.32</f>
        <v>23302.32</v>
      </c>
      <c r="I255" s="4"/>
      <c r="J255" s="12">
        <f t="shared" si="149"/>
        <v>2.6012961358824666E-2</v>
      </c>
      <c r="K255" s="4"/>
      <c r="L255" s="4">
        <f t="shared" si="150"/>
        <v>-8190.0299999999988</v>
      </c>
      <c r="M255" s="4"/>
      <c r="N255" s="12">
        <f t="shared" si="151"/>
        <v>-0.35146843747747003</v>
      </c>
      <c r="O255" s="10"/>
      <c r="P255" s="4">
        <f>--37328.78</f>
        <v>37328.78</v>
      </c>
      <c r="Q255" s="4"/>
      <c r="R255" s="12">
        <f t="shared" si="152"/>
        <v>6.9874179388637958E-3</v>
      </c>
      <c r="S255" s="4"/>
      <c r="T255" s="4">
        <f>-33260.96</f>
        <v>-33260.959999999999</v>
      </c>
      <c r="U255" s="4"/>
      <c r="V255" s="12">
        <f t="shared" si="153"/>
        <v>-9.2811866726754001E-3</v>
      </c>
      <c r="W255" s="4"/>
      <c r="X255" s="4">
        <f t="shared" si="154"/>
        <v>70589.739999999991</v>
      </c>
      <c r="Y255" s="4"/>
      <c r="Z255" s="12">
        <f t="shared" si="155"/>
        <v>-2.1223001380597553</v>
      </c>
    </row>
    <row r="256" spans="1:26" x14ac:dyDescent="0.25">
      <c r="A256" s="9"/>
      <c r="B256" s="9"/>
      <c r="C256" s="9"/>
      <c r="D256" s="3"/>
      <c r="E256" s="3"/>
      <c r="F256" s="8"/>
      <c r="G256" s="3"/>
      <c r="H256" s="3"/>
      <c r="I256" s="3"/>
      <c r="J256" s="8"/>
      <c r="K256" s="3"/>
      <c r="L256" s="3"/>
      <c r="M256" s="3"/>
      <c r="N256" s="8"/>
      <c r="P256" s="3"/>
      <c r="Q256" s="3"/>
      <c r="R256" s="8"/>
      <c r="S256" s="3"/>
      <c r="T256" s="3"/>
      <c r="U256" s="3"/>
      <c r="V256" s="8"/>
      <c r="W256" s="3"/>
      <c r="X256" s="3"/>
      <c r="Y256" s="3"/>
      <c r="Z256" s="8"/>
    </row>
    <row r="257" spans="1:26" s="23" customFormat="1" ht="15.75" thickBot="1" x14ac:dyDescent="0.3">
      <c r="A257" s="10"/>
      <c r="B257" s="25" t="s">
        <v>293</v>
      </c>
      <c r="C257" s="25"/>
      <c r="D257" s="31">
        <f>SUM(D252:D256)</f>
        <v>28394.029999999875</v>
      </c>
      <c r="E257" s="13"/>
      <c r="F257" s="32">
        <f>IF(D$12=0,0,D257/D$12)</f>
        <v>1.2084607690483957E-2</v>
      </c>
      <c r="G257" s="13"/>
      <c r="H257" s="31">
        <f>SUM(H252:H256)</f>
        <v>-583022.13999999978</v>
      </c>
      <c r="I257" s="13"/>
      <c r="J257" s="32">
        <f>IF(H$12=0,0,H257/H$12)</f>
        <v>-0.65084216503589598</v>
      </c>
      <c r="K257" s="16"/>
      <c r="L257" s="31">
        <f>+D257-H257</f>
        <v>611416.16999999969</v>
      </c>
      <c r="M257" s="16"/>
      <c r="N257" s="32">
        <f>IF(H257=0,0,L257/H257)</f>
        <v>-1.0487014609771079</v>
      </c>
      <c r="O257" s="26"/>
      <c r="P257" s="31">
        <f>SUM(P252:P256)</f>
        <v>-557551.59999999916</v>
      </c>
      <c r="Q257" s="13"/>
      <c r="R257" s="32">
        <f>IF(P$12=0,0,P257/P$12)</f>
        <v>-0.10436574813541202</v>
      </c>
      <c r="S257" s="13"/>
      <c r="T257" s="31">
        <f>SUM(T252:T256)</f>
        <v>-450522.33000000013</v>
      </c>
      <c r="U257" s="13"/>
      <c r="V257" s="32">
        <f>IF(T$12=0,0,T257/T$12)</f>
        <v>-0.12571440646748228</v>
      </c>
      <c r="W257" s="16"/>
      <c r="X257" s="31">
        <f>+P257-T257</f>
        <v>-107029.26999999903</v>
      </c>
      <c r="Y257" s="16"/>
      <c r="Z257" s="32">
        <f>IF(T257=0,0,X257/T257)</f>
        <v>0.23756707020493079</v>
      </c>
    </row>
    <row r="258" spans="1:26" ht="15.75" thickTop="1" x14ac:dyDescent="0.25">
      <c r="A258" s="9"/>
      <c r="C258" s="9"/>
      <c r="D258" s="18"/>
      <c r="E258" s="18"/>
      <c r="G258" s="18"/>
      <c r="H258" s="18"/>
      <c r="I258" s="18"/>
      <c r="J258" s="42"/>
      <c r="K258" s="18"/>
      <c r="L258" s="18"/>
      <c r="M258" s="18"/>
      <c r="P258" s="18"/>
      <c r="Q258" s="18"/>
      <c r="R258" s="42"/>
      <c r="S258" s="18"/>
      <c r="T258" s="18"/>
      <c r="U258" s="18"/>
      <c r="V258" s="42"/>
      <c r="W258" s="18"/>
      <c r="X258" s="18"/>
    </row>
    <row r="259" spans="1:26" x14ac:dyDescent="0.25">
      <c r="A259" s="9"/>
      <c r="B259" s="58">
        <v>44481.985590011573</v>
      </c>
      <c r="D259" s="18"/>
      <c r="E259" s="18"/>
      <c r="G259" s="18"/>
      <c r="H259" s="18"/>
      <c r="I259" s="18"/>
      <c r="J259" s="42"/>
      <c r="K259" s="18"/>
      <c r="L259" s="18"/>
      <c r="M259" s="18"/>
      <c r="P259" s="18"/>
      <c r="Q259" s="18"/>
      <c r="R259" s="42"/>
      <c r="S259" s="18"/>
      <c r="T259" s="18"/>
      <c r="U259" s="18"/>
      <c r="V259" s="42"/>
      <c r="W259" s="18"/>
      <c r="X259" s="18"/>
    </row>
    <row r="260" spans="1:26" x14ac:dyDescent="0.25">
      <c r="A260" s="9"/>
      <c r="B260" s="53" t="s">
        <v>56</v>
      </c>
      <c r="D260" s="18"/>
      <c r="E260" s="18"/>
      <c r="G260" s="18"/>
      <c r="H260" s="18"/>
      <c r="I260" s="18"/>
      <c r="J260" s="42"/>
      <c r="K260" s="18"/>
      <c r="L260" s="18"/>
      <c r="M260" s="18"/>
      <c r="P260" s="18"/>
      <c r="Q260" s="18"/>
      <c r="R260" s="42"/>
      <c r="S260" s="18"/>
      <c r="T260" s="18"/>
      <c r="U260" s="18"/>
      <c r="V260" s="42"/>
      <c r="W260" s="18"/>
      <c r="X260" s="18"/>
    </row>
    <row r="261" spans="1:26" x14ac:dyDescent="0.25">
      <c r="A261" s="9"/>
      <c r="B261" s="52"/>
      <c r="D261" s="18"/>
      <c r="E261" s="18"/>
      <c r="G261" s="18"/>
      <c r="H261" s="18"/>
      <c r="I261" s="18"/>
      <c r="J261" s="42"/>
      <c r="K261" s="18"/>
      <c r="L261" s="18"/>
      <c r="M261" s="18"/>
      <c r="P261" s="18"/>
      <c r="Q261" s="18"/>
      <c r="R261" s="42"/>
      <c r="S261" s="18"/>
      <c r="T261" s="18"/>
      <c r="U261" s="18"/>
      <c r="V261" s="42"/>
      <c r="W261" s="18"/>
      <c r="X261" s="18"/>
    </row>
    <row r="262" spans="1:26" x14ac:dyDescent="0.25">
      <c r="D262" s="18"/>
      <c r="E262" s="18"/>
      <c r="G262" s="18"/>
      <c r="H262" s="18"/>
      <c r="I262" s="18"/>
      <c r="J262" s="42"/>
      <c r="K262" s="18"/>
      <c r="L262" s="18"/>
      <c r="M262" s="18"/>
      <c r="P262" s="18"/>
      <c r="Q262" s="18"/>
      <c r="R262" s="42"/>
      <c r="S262" s="18"/>
      <c r="T262" s="18"/>
      <c r="U262" s="18"/>
      <c r="V262" s="42"/>
      <c r="W262" s="18"/>
      <c r="X262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55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105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105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182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182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104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104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218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218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","100", " - ", "Corporate")</f>
        <v>Department 100 - Corporate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4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292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276</v>
      </c>
      <c r="C22" s="25"/>
      <c r="D22" s="21">
        <f>+D16-D18+D20</f>
        <v>0</v>
      </c>
      <c r="E22" s="13"/>
      <c r="F22" s="22">
        <f>IF(D$12=0,0,D22/D$12)</f>
        <v>0</v>
      </c>
      <c r="G22" s="13"/>
      <c r="H22" s="21">
        <f>+H16-H18+H20</f>
        <v>0</v>
      </c>
      <c r="I22" s="13"/>
      <c r="J22" s="22">
        <f>IF(H$12=0,0,H22/H$12)</f>
        <v>0</v>
      </c>
      <c r="K22" s="16"/>
      <c r="L22" s="21">
        <f>+D22-H22</f>
        <v>0</v>
      </c>
      <c r="M22" s="16"/>
      <c r="N22" s="22">
        <f>IF(H22=0,0,L22/H22)</f>
        <v>0</v>
      </c>
      <c r="O22" s="26"/>
      <c r="P22" s="21">
        <f>+P16-P18+P20</f>
        <v>0</v>
      </c>
      <c r="Q22" s="13"/>
      <c r="R22" s="22">
        <f>IF(P$12=0,0,P22/P$12)</f>
        <v>0</v>
      </c>
      <c r="S22" s="13"/>
      <c r="T22" s="21">
        <f>+T16-T18+T20</f>
        <v>0</v>
      </c>
      <c r="U22" s="13"/>
      <c r="V22" s="22">
        <f>IF(T$12=0,0,T22/T$12)</f>
        <v>0</v>
      </c>
      <c r="W22" s="16"/>
      <c r="X22" s="21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127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125</v>
      </c>
      <c r="C26" s="25"/>
      <c r="D26" s="33">
        <f>+D22-D24</f>
        <v>0</v>
      </c>
      <c r="E26" s="13"/>
      <c r="F26" s="35">
        <f>IF(D$12=0,0,D26/D$12)</f>
        <v>0</v>
      </c>
      <c r="G26" s="13"/>
      <c r="H26" s="33">
        <f>+H22-H24</f>
        <v>0</v>
      </c>
      <c r="I26" s="13"/>
      <c r="J26" s="35">
        <f>IF(H$12=0,0,H26/H$12)</f>
        <v>0</v>
      </c>
      <c r="K26" s="16"/>
      <c r="L26" s="33">
        <f>D26-H26</f>
        <v>0</v>
      </c>
      <c r="M26" s="16"/>
      <c r="N26" s="35">
        <f>IF(H26=0,0,L26/H26)</f>
        <v>0</v>
      </c>
      <c r="O26" s="26"/>
      <c r="P26" s="33">
        <f>+P22-P24</f>
        <v>0</v>
      </c>
      <c r="Q26" s="13"/>
      <c r="R26" s="35">
        <f>IF(P$12=0,0,P26/P$12)</f>
        <v>0</v>
      </c>
      <c r="S26" s="13"/>
      <c r="T26" s="33">
        <f>+T22-T24</f>
        <v>0</v>
      </c>
      <c r="U26" s="13"/>
      <c r="V26" s="35">
        <f>IF(T$12=0,0,T26/T$12)</f>
        <v>0</v>
      </c>
      <c r="W26" s="16"/>
      <c r="X26" s="33">
        <f>P26-T26</f>
        <v>0</v>
      </c>
      <c r="Y26" s="16"/>
      <c r="Z26" s="35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183</v>
      </c>
      <c r="C28" s="10"/>
      <c r="D28" s="4">
        <f>-372468.37</f>
        <v>-372468.37</v>
      </c>
      <c r="E28" s="4"/>
      <c r="F28" s="12">
        <f t="shared" ref="F28:F29" si="0">IF(D$12=0,0,D28/D$12)</f>
        <v>0</v>
      </c>
      <c r="G28" s="4"/>
      <c r="H28" s="4">
        <f>-231583.65</f>
        <v>-231583.65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-140884.72</v>
      </c>
      <c r="M28" s="4"/>
      <c r="N28" s="12">
        <f t="shared" ref="N28:N29" si="3">IF(H28=0,0,L28/H28)</f>
        <v>0.60835348264007416</v>
      </c>
      <c r="O28" s="10"/>
      <c r="P28" s="4">
        <f>-219609.57</f>
        <v>-219609.57</v>
      </c>
      <c r="Q28" s="4"/>
      <c r="R28" s="12">
        <f t="shared" ref="R28:R29" si="4">IF(P$12=0,0,P28/P$12)</f>
        <v>0</v>
      </c>
      <c r="S28" s="4"/>
      <c r="T28" s="4">
        <f>--719759.06</f>
        <v>719759.06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-939368.63000000012</v>
      </c>
      <c r="Y28" s="4"/>
      <c r="Z28" s="12">
        <f t="shared" ref="Z28:Z29" si="7">IF(T28=0,0,X28/T28)</f>
        <v>-1.3051153951434804</v>
      </c>
    </row>
    <row r="29" spans="1:26" s="23" customFormat="1" x14ac:dyDescent="0.25">
      <c r="A29" s="51"/>
      <c r="B29" s="10" t="s">
        <v>81</v>
      </c>
      <c r="C29" s="10"/>
      <c r="D29" s="4">
        <f>--15112.29</f>
        <v>15112.29</v>
      </c>
      <c r="E29" s="4"/>
      <c r="F29" s="12">
        <f t="shared" si="0"/>
        <v>0</v>
      </c>
      <c r="G29" s="4"/>
      <c r="H29" s="4">
        <f>--23302.32</f>
        <v>23302.32</v>
      </c>
      <c r="I29" s="4"/>
      <c r="J29" s="12">
        <f t="shared" si="1"/>
        <v>0</v>
      </c>
      <c r="K29" s="4"/>
      <c r="L29" s="4">
        <f t="shared" si="2"/>
        <v>-8190.0299999999988</v>
      </c>
      <c r="M29" s="4"/>
      <c r="N29" s="12">
        <f t="shared" si="3"/>
        <v>-0.35146843747747003</v>
      </c>
      <c r="O29" s="10"/>
      <c r="P29" s="4">
        <f>--37328.78</f>
        <v>37328.78</v>
      </c>
      <c r="Q29" s="4"/>
      <c r="R29" s="12">
        <f t="shared" si="4"/>
        <v>0</v>
      </c>
      <c r="S29" s="4"/>
      <c r="T29" s="4">
        <f>-33260.96</f>
        <v>-33260.959999999999</v>
      </c>
      <c r="U29" s="4"/>
      <c r="V29" s="12">
        <f t="shared" si="5"/>
        <v>0</v>
      </c>
      <c r="W29" s="4"/>
      <c r="X29" s="4">
        <f t="shared" si="6"/>
        <v>70589.739999999991</v>
      </c>
      <c r="Y29" s="4"/>
      <c r="Z29" s="12">
        <f t="shared" si="7"/>
        <v>-2.1223001380597553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293</v>
      </c>
      <c r="C31" s="25"/>
      <c r="D31" s="31">
        <f>SUM(D26:D30)</f>
        <v>-357356.08</v>
      </c>
      <c r="E31" s="13"/>
      <c r="F31" s="32">
        <f>IF(D$12=0,0,D31/D$12)</f>
        <v>0</v>
      </c>
      <c r="G31" s="13"/>
      <c r="H31" s="31">
        <f>SUM(H26:H30)</f>
        <v>-208281.33</v>
      </c>
      <c r="I31" s="13"/>
      <c r="J31" s="32">
        <f>IF(H$12=0,0,H31/H$12)</f>
        <v>0</v>
      </c>
      <c r="K31" s="16"/>
      <c r="L31" s="31">
        <f>+D31-H31</f>
        <v>-149074.75000000003</v>
      </c>
      <c r="M31" s="16"/>
      <c r="N31" s="32">
        <f>IF(H31=0,0,L31/H31)</f>
        <v>0.71573745952169621</v>
      </c>
      <c r="O31" s="26"/>
      <c r="P31" s="31">
        <f>SUM(P26:P30)</f>
        <v>-182280.79</v>
      </c>
      <c r="Q31" s="13"/>
      <c r="R31" s="32">
        <f>IF(P$12=0,0,P31/P$12)</f>
        <v>0</v>
      </c>
      <c r="S31" s="13"/>
      <c r="T31" s="31">
        <f>SUM(T26:T30)</f>
        <v>686498.10000000009</v>
      </c>
      <c r="U31" s="13"/>
      <c r="V31" s="32">
        <f>IF(T$12=0,0,T31/T$12)</f>
        <v>0</v>
      </c>
      <c r="W31" s="16"/>
      <c r="X31" s="31">
        <f>+P31-T31</f>
        <v>-868778.89000000013</v>
      </c>
      <c r="Y31" s="16"/>
      <c r="Z31" s="32">
        <f>IF(T31=0,0,X31/T31)</f>
        <v>-1.2655226431070967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8">
        <v>44481.985668518515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3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2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138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214039.08999999994</v>
      </c>
      <c r="E18" s="20"/>
      <c r="F18" s="30">
        <f t="shared" ref="F18:F29" si="0">IF(D$12=0,0,D18/D$12)</f>
        <v>0</v>
      </c>
      <c r="G18" s="20"/>
      <c r="H18" s="20">
        <f>SUM(OSRRefH22x_0)</f>
        <v>210081.48</v>
      </c>
      <c r="I18" s="20"/>
      <c r="J18" s="30">
        <f t="shared" ref="J18:J29" si="1">IF(H$12=0,0,H18/H$12)</f>
        <v>0</v>
      </c>
      <c r="K18" s="4"/>
      <c r="L18" s="20">
        <f t="shared" ref="L18:L29" si="2">+D18-H18</f>
        <v>3957.6099999999278</v>
      </c>
      <c r="M18" s="4"/>
      <c r="N18" s="30">
        <f t="shared" ref="N18:N29" si="3">IF(H18=0,0,L18/H18)</f>
        <v>1.8838452585158517E-2</v>
      </c>
      <c r="O18" s="10"/>
      <c r="P18" s="20">
        <f>SUM(OSRRefP22x_0)</f>
        <v>661244.69999999995</v>
      </c>
      <c r="Q18" s="20"/>
      <c r="R18" s="30">
        <f t="shared" ref="R18:R29" si="4">IF(P$12=0,0,P18/P$12)</f>
        <v>0</v>
      </c>
      <c r="S18" s="20"/>
      <c r="T18" s="20">
        <f>SUM(OSRRefT22x_0)</f>
        <v>663897.74</v>
      </c>
      <c r="U18" s="20"/>
      <c r="V18" s="30">
        <f t="shared" ref="V18:V29" si="5">IF(T$12=0,0,T18/T$12)</f>
        <v>0</v>
      </c>
      <c r="W18" s="4"/>
      <c r="X18" s="20">
        <f t="shared" ref="X18:X29" si="6">+P18-T18</f>
        <v>-2653.0400000000373</v>
      </c>
      <c r="Y18" s="4"/>
      <c r="Z18" s="30">
        <f t="shared" ref="Z18:Z29" si="7">IF(T18=0,0,X18/T18)</f>
        <v>-3.9961576010185502E-3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79571.759999999995</v>
      </c>
      <c r="E19" s="1"/>
      <c r="F19" s="5">
        <f t="shared" si="0"/>
        <v>0</v>
      </c>
      <c r="G19" s="1"/>
      <c r="H19" s="1">
        <f>SUM(OSRRefH22_0x_0)</f>
        <v>81783.600000000006</v>
      </c>
      <c r="I19" s="1"/>
      <c r="J19" s="5">
        <f t="shared" si="1"/>
        <v>0</v>
      </c>
      <c r="K19" s="1"/>
      <c r="L19" s="1">
        <f t="shared" si="2"/>
        <v>-2211.8400000000111</v>
      </c>
      <c r="M19" s="1"/>
      <c r="N19" s="5">
        <f t="shared" si="3"/>
        <v>-2.7045031033116798E-2</v>
      </c>
      <c r="O19" s="14"/>
      <c r="P19" s="1">
        <f>SUM(OSRRefP22_0x_0)</f>
        <v>236775.43</v>
      </c>
      <c r="Q19" s="1"/>
      <c r="R19" s="5">
        <f t="shared" si="4"/>
        <v>0</v>
      </c>
      <c r="S19" s="1"/>
      <c r="T19" s="1">
        <f>SUM(OSRRefT22_0x_0)</f>
        <v>246577.50999999998</v>
      </c>
      <c r="U19" s="1"/>
      <c r="V19" s="5">
        <f t="shared" si="5"/>
        <v>0</v>
      </c>
      <c r="W19" s="1"/>
      <c r="X19" s="1">
        <f t="shared" si="6"/>
        <v>-9802.0799999999872</v>
      </c>
      <c r="Y19" s="1"/>
      <c r="Z19" s="5">
        <f t="shared" si="7"/>
        <v>-3.9752530553171649E-2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7256.42</v>
      </c>
      <c r="E20" s="2"/>
      <c r="F20" s="6">
        <f t="shared" si="0"/>
        <v>0</v>
      </c>
      <c r="G20" s="2"/>
      <c r="H20" s="7">
        <v>7199.68</v>
      </c>
      <c r="I20" s="2"/>
      <c r="J20" s="6">
        <f t="shared" si="1"/>
        <v>0</v>
      </c>
      <c r="K20" s="2"/>
      <c r="L20" s="7">
        <f t="shared" si="2"/>
        <v>56.739999999999782</v>
      </c>
      <c r="M20" s="2"/>
      <c r="N20" s="6">
        <f t="shared" si="3"/>
        <v>7.8809058180363267E-3</v>
      </c>
      <c r="O20" s="11"/>
      <c r="P20" s="7">
        <v>22064.49</v>
      </c>
      <c r="Q20" s="2"/>
      <c r="R20" s="6">
        <f t="shared" si="4"/>
        <v>0</v>
      </c>
      <c r="S20" s="2"/>
      <c r="T20" s="7">
        <v>21975.07</v>
      </c>
      <c r="U20" s="2"/>
      <c r="V20" s="6">
        <f t="shared" si="5"/>
        <v>0</v>
      </c>
      <c r="W20" s="2"/>
      <c r="X20" s="7">
        <f t="shared" si="6"/>
        <v>89.420000000001892</v>
      </c>
      <c r="Y20" s="2"/>
      <c r="Z20" s="6">
        <f t="shared" si="7"/>
        <v>4.0691565487619335E-3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1428.76</v>
      </c>
      <c r="E21" s="2"/>
      <c r="F21" s="6">
        <f t="shared" si="0"/>
        <v>0</v>
      </c>
      <c r="G21" s="2"/>
      <c r="H21" s="7">
        <v>596.41</v>
      </c>
      <c r="I21" s="2"/>
      <c r="J21" s="6">
        <f t="shared" si="1"/>
        <v>0</v>
      </c>
      <c r="K21" s="2"/>
      <c r="L21" s="7">
        <f t="shared" si="2"/>
        <v>832.35</v>
      </c>
      <c r="M21" s="2"/>
      <c r="N21" s="6">
        <f t="shared" si="3"/>
        <v>1.3956003420465788</v>
      </c>
      <c r="O21" s="11"/>
      <c r="P21" s="7">
        <v>4285.51</v>
      </c>
      <c r="Q21" s="2"/>
      <c r="R21" s="6">
        <f t="shared" si="4"/>
        <v>0</v>
      </c>
      <c r="S21" s="2"/>
      <c r="T21" s="7">
        <v>1788.7</v>
      </c>
      <c r="U21" s="2"/>
      <c r="V21" s="6">
        <f t="shared" si="5"/>
        <v>0</v>
      </c>
      <c r="W21" s="2"/>
      <c r="X21" s="7">
        <f t="shared" si="6"/>
        <v>2496.8100000000004</v>
      </c>
      <c r="Y21" s="2"/>
      <c r="Z21" s="6">
        <f t="shared" si="7"/>
        <v>1.3958796891597252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22743.99</v>
      </c>
      <c r="E22" s="2"/>
      <c r="F22" s="6">
        <f t="shared" si="0"/>
        <v>0</v>
      </c>
      <c r="G22" s="2"/>
      <c r="H22" s="7">
        <v>22694.37</v>
      </c>
      <c r="I22" s="2"/>
      <c r="J22" s="6">
        <f t="shared" si="1"/>
        <v>0</v>
      </c>
      <c r="K22" s="2"/>
      <c r="L22" s="7">
        <f t="shared" si="2"/>
        <v>49.620000000002619</v>
      </c>
      <c r="M22" s="2"/>
      <c r="N22" s="6">
        <f t="shared" si="3"/>
        <v>2.1864453606776756E-3</v>
      </c>
      <c r="O22" s="11"/>
      <c r="P22" s="7">
        <v>67565.09</v>
      </c>
      <c r="Q22" s="2"/>
      <c r="R22" s="6">
        <f t="shared" si="4"/>
        <v>0</v>
      </c>
      <c r="S22" s="2"/>
      <c r="T22" s="7">
        <v>67977.789999999994</v>
      </c>
      <c r="U22" s="2"/>
      <c r="V22" s="6">
        <f t="shared" si="5"/>
        <v>0</v>
      </c>
      <c r="W22" s="2"/>
      <c r="X22" s="7">
        <f t="shared" si="6"/>
        <v>-412.69999999999709</v>
      </c>
      <c r="Y22" s="2"/>
      <c r="Z22" s="6">
        <f t="shared" si="7"/>
        <v>-6.0711005756438558E-3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251.96</v>
      </c>
      <c r="E23" s="2"/>
      <c r="F23" s="6">
        <f t="shared" si="0"/>
        <v>0</v>
      </c>
      <c r="G23" s="2"/>
      <c r="H23" s="7">
        <v>255.2</v>
      </c>
      <c r="I23" s="2"/>
      <c r="J23" s="6">
        <f t="shared" si="1"/>
        <v>0</v>
      </c>
      <c r="K23" s="2"/>
      <c r="L23" s="7">
        <f t="shared" si="2"/>
        <v>-3.2399999999999807</v>
      </c>
      <c r="M23" s="2"/>
      <c r="N23" s="6">
        <f t="shared" si="3"/>
        <v>-1.2695924764890208E-2</v>
      </c>
      <c r="O23" s="11"/>
      <c r="P23" s="7">
        <v>754.1</v>
      </c>
      <c r="Q23" s="2"/>
      <c r="R23" s="6">
        <f t="shared" si="4"/>
        <v>0</v>
      </c>
      <c r="S23" s="2"/>
      <c r="T23" s="7">
        <v>763.34</v>
      </c>
      <c r="U23" s="2"/>
      <c r="V23" s="6">
        <f t="shared" si="5"/>
        <v>0</v>
      </c>
      <c r="W23" s="2"/>
      <c r="X23" s="7">
        <f t="shared" si="6"/>
        <v>-9.2400000000000091</v>
      </c>
      <c r="Y23" s="2"/>
      <c r="Z23" s="6">
        <f t="shared" si="7"/>
        <v>-1.210469777556529E-2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7497.95</v>
      </c>
      <c r="E24" s="2"/>
      <c r="F24" s="6">
        <f t="shared" si="0"/>
        <v>0</v>
      </c>
      <c r="G24" s="2"/>
      <c r="H24" s="7">
        <v>7443.75</v>
      </c>
      <c r="I24" s="2"/>
      <c r="J24" s="6">
        <f t="shared" si="1"/>
        <v>0</v>
      </c>
      <c r="K24" s="2"/>
      <c r="L24" s="7">
        <f t="shared" si="2"/>
        <v>54.199999999999818</v>
      </c>
      <c r="M24" s="2"/>
      <c r="N24" s="6">
        <f t="shared" si="3"/>
        <v>7.2812762384550549E-3</v>
      </c>
      <c r="O24" s="11"/>
      <c r="P24" s="7">
        <v>22493.85</v>
      </c>
      <c r="Q24" s="2"/>
      <c r="R24" s="6">
        <f t="shared" si="4"/>
        <v>0</v>
      </c>
      <c r="S24" s="2"/>
      <c r="T24" s="7">
        <v>26053.14</v>
      </c>
      <c r="U24" s="2"/>
      <c r="V24" s="6">
        <f t="shared" si="5"/>
        <v>0</v>
      </c>
      <c r="W24" s="2"/>
      <c r="X24" s="7">
        <f t="shared" si="6"/>
        <v>-3559.2900000000009</v>
      </c>
      <c r="Y24" s="2"/>
      <c r="Z24" s="6">
        <f t="shared" si="7"/>
        <v>-0.13661654602861692</v>
      </c>
    </row>
    <row r="25" spans="1:26" s="24" customFormat="1" hidden="1" outlineLevel="2" x14ac:dyDescent="0.25">
      <c r="A25" s="28"/>
      <c r="B25" s="11" t="str">
        <f>CONCATENATE("          ", "6117", " - ", "RETIREMENT STAFF HOURLY")</f>
        <v xml:space="preserve">          6117 - RETIREMENT STAFF HOURLY</v>
      </c>
      <c r="C25" s="11"/>
      <c r="D25" s="7">
        <v>307.75</v>
      </c>
      <c r="E25" s="2"/>
      <c r="F25" s="6">
        <f t="shared" si="0"/>
        <v>0</v>
      </c>
      <c r="G25" s="2"/>
      <c r="H25" s="7">
        <v>808.78</v>
      </c>
      <c r="I25" s="2"/>
      <c r="J25" s="6">
        <f t="shared" si="1"/>
        <v>0</v>
      </c>
      <c r="K25" s="2"/>
      <c r="L25" s="7">
        <f t="shared" si="2"/>
        <v>-501.03</v>
      </c>
      <c r="M25" s="2"/>
      <c r="N25" s="6">
        <f t="shared" si="3"/>
        <v>-0.61948861247805331</v>
      </c>
      <c r="O25" s="11"/>
      <c r="P25" s="7">
        <v>1850.43</v>
      </c>
      <c r="Q25" s="2"/>
      <c r="R25" s="6">
        <f t="shared" si="4"/>
        <v>0</v>
      </c>
      <c r="S25" s="2"/>
      <c r="T25" s="7">
        <v>2664.29</v>
      </c>
      <c r="U25" s="2"/>
      <c r="V25" s="6">
        <f t="shared" si="5"/>
        <v>0</v>
      </c>
      <c r="W25" s="2"/>
      <c r="X25" s="7">
        <f t="shared" si="6"/>
        <v>-813.8599999999999</v>
      </c>
      <c r="Y25" s="2"/>
      <c r="Z25" s="6">
        <f t="shared" si="7"/>
        <v>-0.30546974991461134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7">
        <v>6193.49</v>
      </c>
      <c r="E26" s="2"/>
      <c r="F26" s="6">
        <f t="shared" si="0"/>
        <v>0</v>
      </c>
      <c r="G26" s="2"/>
      <c r="H26" s="7">
        <v>6480.55</v>
      </c>
      <c r="I26" s="2"/>
      <c r="J26" s="6">
        <f t="shared" si="1"/>
        <v>0</v>
      </c>
      <c r="K26" s="2"/>
      <c r="L26" s="7">
        <f t="shared" si="2"/>
        <v>-287.0600000000004</v>
      </c>
      <c r="M26" s="2"/>
      <c r="N26" s="6">
        <f t="shared" si="3"/>
        <v>-4.4295623056685066E-2</v>
      </c>
      <c r="O26" s="11"/>
      <c r="P26" s="7">
        <v>19027.900000000001</v>
      </c>
      <c r="Q26" s="2"/>
      <c r="R26" s="6">
        <f t="shared" si="4"/>
        <v>0</v>
      </c>
      <c r="S26" s="2"/>
      <c r="T26" s="7">
        <v>18619.09</v>
      </c>
      <c r="U26" s="2"/>
      <c r="V26" s="6">
        <f t="shared" si="5"/>
        <v>0</v>
      </c>
      <c r="W26" s="2"/>
      <c r="X26" s="7">
        <f t="shared" si="6"/>
        <v>408.81000000000131</v>
      </c>
      <c r="Y26" s="2"/>
      <c r="Z26" s="6">
        <f t="shared" si="7"/>
        <v>2.1956497336873139E-2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7">
        <v>4256.4799999999996</v>
      </c>
      <c r="E27" s="2"/>
      <c r="F27" s="6">
        <f t="shared" si="0"/>
        <v>0</v>
      </c>
      <c r="G27" s="2"/>
      <c r="H27" s="7">
        <v>4158.5</v>
      </c>
      <c r="I27" s="2"/>
      <c r="J27" s="6">
        <f t="shared" si="1"/>
        <v>0</v>
      </c>
      <c r="K27" s="2"/>
      <c r="L27" s="7">
        <f t="shared" si="2"/>
        <v>97.979999999999563</v>
      </c>
      <c r="M27" s="2"/>
      <c r="N27" s="6">
        <f t="shared" si="3"/>
        <v>2.3561380305398477E-2</v>
      </c>
      <c r="O27" s="11"/>
      <c r="P27" s="7">
        <v>12769.44</v>
      </c>
      <c r="Q27" s="2"/>
      <c r="R27" s="6">
        <f t="shared" si="4"/>
        <v>0</v>
      </c>
      <c r="S27" s="2"/>
      <c r="T27" s="7">
        <v>12475.5</v>
      </c>
      <c r="U27" s="2"/>
      <c r="V27" s="6">
        <f t="shared" si="5"/>
        <v>0</v>
      </c>
      <c r="W27" s="2"/>
      <c r="X27" s="7">
        <f t="shared" si="6"/>
        <v>293.94000000000051</v>
      </c>
      <c r="Y27" s="2"/>
      <c r="Z27" s="6">
        <f t="shared" si="7"/>
        <v>2.3561380305398623E-2</v>
      </c>
    </row>
    <row r="28" spans="1:26" s="24" customFormat="1" hidden="1" outlineLevel="2" x14ac:dyDescent="0.25">
      <c r="A28" s="28"/>
      <c r="B28" s="11" t="str">
        <f>CONCATENATE("          ", "6120", " - ", "RETIREES HEALTH INSURANCE")</f>
        <v xml:space="preserve">          6120 - RETIREES HEALTH INSURANCE</v>
      </c>
      <c r="C28" s="11"/>
      <c r="D28" s="7">
        <v>28310.06</v>
      </c>
      <c r="E28" s="2"/>
      <c r="F28" s="6">
        <f t="shared" si="0"/>
        <v>0</v>
      </c>
      <c r="G28" s="2"/>
      <c r="H28" s="7">
        <v>31087.67</v>
      </c>
      <c r="I28" s="2"/>
      <c r="J28" s="6">
        <f t="shared" si="1"/>
        <v>0</v>
      </c>
      <c r="K28" s="2"/>
      <c r="L28" s="7">
        <f t="shared" si="2"/>
        <v>-2777.6099999999969</v>
      </c>
      <c r="M28" s="2"/>
      <c r="N28" s="6">
        <f t="shared" si="3"/>
        <v>-8.9347641685594226E-2</v>
      </c>
      <c r="O28" s="11"/>
      <c r="P28" s="7">
        <v>82421.179999999993</v>
      </c>
      <c r="Q28" s="2"/>
      <c r="R28" s="6">
        <f t="shared" si="4"/>
        <v>0</v>
      </c>
      <c r="S28" s="2"/>
      <c r="T28" s="7">
        <v>91763.01</v>
      </c>
      <c r="U28" s="2"/>
      <c r="V28" s="6">
        <f t="shared" si="5"/>
        <v>0</v>
      </c>
      <c r="W28" s="2"/>
      <c r="X28" s="7">
        <f t="shared" si="6"/>
        <v>-9341.8300000000017</v>
      </c>
      <c r="Y28" s="2"/>
      <c r="Z28" s="6">
        <f t="shared" si="7"/>
        <v>-0.10180387500366435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7">
        <v>1324.9</v>
      </c>
      <c r="E29" s="2"/>
      <c r="F29" s="6">
        <f t="shared" si="0"/>
        <v>0</v>
      </c>
      <c r="G29" s="2"/>
      <c r="H29" s="7">
        <v>1058.69</v>
      </c>
      <c r="I29" s="2"/>
      <c r="J29" s="6">
        <f t="shared" si="1"/>
        <v>0</v>
      </c>
      <c r="K29" s="2"/>
      <c r="L29" s="7">
        <f t="shared" si="2"/>
        <v>266.21000000000004</v>
      </c>
      <c r="M29" s="2"/>
      <c r="N29" s="6">
        <f t="shared" si="3"/>
        <v>0.2514522664802728</v>
      </c>
      <c r="O29" s="11"/>
      <c r="P29" s="7">
        <v>3543.44</v>
      </c>
      <c r="Q29" s="2"/>
      <c r="R29" s="6">
        <f t="shared" si="4"/>
        <v>0</v>
      </c>
      <c r="S29" s="2"/>
      <c r="T29" s="7">
        <v>2497.58</v>
      </c>
      <c r="U29" s="2"/>
      <c r="V29" s="6">
        <f t="shared" si="5"/>
        <v>0</v>
      </c>
      <c r="W29" s="2"/>
      <c r="X29" s="7">
        <f t="shared" si="6"/>
        <v>1045.8600000000001</v>
      </c>
      <c r="Y29" s="2"/>
      <c r="Z29" s="6">
        <f t="shared" si="7"/>
        <v>0.41874934937019043</v>
      </c>
    </row>
    <row r="30" spans="1:26" s="27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88046.800000000017</v>
      </c>
      <c r="E30" s="1"/>
      <c r="F30" s="5">
        <f t="shared" ref="F30:F36" si="8">IF(D$12=0,0,D30/D$12)</f>
        <v>0</v>
      </c>
      <c r="G30" s="1"/>
      <c r="H30" s="1">
        <f>SUM(OSRRefH22_1x_0)</f>
        <v>94176.3</v>
      </c>
      <c r="I30" s="1"/>
      <c r="J30" s="5">
        <f t="shared" ref="J30:J36" si="9">IF(H$12=0,0,H30/H$12)</f>
        <v>0</v>
      </c>
      <c r="K30" s="1"/>
      <c r="L30" s="1">
        <f t="shared" ref="L30:L36" si="10">+D30-H30</f>
        <v>-6129.4999999999854</v>
      </c>
      <c r="M30" s="1"/>
      <c r="N30" s="5">
        <f t="shared" ref="N30:N36" si="11">IF(H30=0,0,L30/H30)</f>
        <v>-6.5085377106554251E-2</v>
      </c>
      <c r="O30" s="14"/>
      <c r="P30" s="1">
        <f>SUM(OSRRefP22_1x_0)</f>
        <v>291134.47000000009</v>
      </c>
      <c r="Q30" s="1"/>
      <c r="R30" s="5">
        <f t="shared" ref="R30:R36" si="12">IF(P$12=0,0,P30/P$12)</f>
        <v>0</v>
      </c>
      <c r="S30" s="1"/>
      <c r="T30" s="1">
        <f>SUM(OSRRefT22_1x_0)</f>
        <v>297797.2</v>
      </c>
      <c r="U30" s="1"/>
      <c r="V30" s="5">
        <f t="shared" ref="V30:V36" si="13">IF(T$12=0,0,T30/T$12)</f>
        <v>0</v>
      </c>
      <c r="W30" s="1"/>
      <c r="X30" s="1">
        <f t="shared" ref="X30:X36" si="14">+P30-T30</f>
        <v>-6662.7299999999232</v>
      </c>
      <c r="Y30" s="1"/>
      <c r="Z30" s="5">
        <f t="shared" ref="Z30:Z36" si="15">IF(T30=0,0,X30/T30)</f>
        <v>-2.2373380273555035E-2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7">
        <v>20961.580000000002</v>
      </c>
      <c r="E31" s="2"/>
      <c r="F31" s="6">
        <f t="shared" si="8"/>
        <v>0</v>
      </c>
      <c r="G31" s="2"/>
      <c r="H31" s="7">
        <v>22550.76</v>
      </c>
      <c r="I31" s="2"/>
      <c r="J31" s="6">
        <f t="shared" si="9"/>
        <v>0</v>
      </c>
      <c r="K31" s="2"/>
      <c r="L31" s="7">
        <f t="shared" si="10"/>
        <v>-1589.1799999999967</v>
      </c>
      <c r="M31" s="2"/>
      <c r="N31" s="6">
        <f t="shared" si="11"/>
        <v>-7.0471239106797146E-2</v>
      </c>
      <c r="O31" s="11"/>
      <c r="P31" s="7">
        <v>72339.460000000006</v>
      </c>
      <c r="Q31" s="2"/>
      <c r="R31" s="6">
        <f t="shared" si="12"/>
        <v>0</v>
      </c>
      <c r="S31" s="2"/>
      <c r="T31" s="7">
        <v>72105.53</v>
      </c>
      <c r="U31" s="2"/>
      <c r="V31" s="6">
        <f t="shared" si="13"/>
        <v>0</v>
      </c>
      <c r="W31" s="2"/>
      <c r="X31" s="7">
        <f t="shared" si="14"/>
        <v>233.93000000000757</v>
      </c>
      <c r="Y31" s="2"/>
      <c r="Z31" s="6">
        <f t="shared" si="15"/>
        <v>3.2442726653560076E-3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7">
        <v>44941.71</v>
      </c>
      <c r="E32" s="2"/>
      <c r="F32" s="6">
        <f t="shared" si="8"/>
        <v>0</v>
      </c>
      <c r="G32" s="2"/>
      <c r="H32" s="7">
        <v>46779.08</v>
      </c>
      <c r="I32" s="2"/>
      <c r="J32" s="6">
        <f t="shared" si="9"/>
        <v>0</v>
      </c>
      <c r="K32" s="2"/>
      <c r="L32" s="7">
        <f t="shared" si="10"/>
        <v>-1837.3700000000026</v>
      </c>
      <c r="M32" s="2"/>
      <c r="N32" s="6">
        <f t="shared" si="11"/>
        <v>-3.9277600158019406E-2</v>
      </c>
      <c r="O32" s="11"/>
      <c r="P32" s="7">
        <v>148479.87</v>
      </c>
      <c r="Q32" s="2"/>
      <c r="R32" s="6">
        <f t="shared" si="12"/>
        <v>0</v>
      </c>
      <c r="S32" s="2"/>
      <c r="T32" s="7">
        <v>144563.49</v>
      </c>
      <c r="U32" s="2"/>
      <c r="V32" s="6">
        <f t="shared" si="13"/>
        <v>0</v>
      </c>
      <c r="W32" s="2"/>
      <c r="X32" s="7">
        <f t="shared" si="14"/>
        <v>3916.3800000000047</v>
      </c>
      <c r="Y32" s="2"/>
      <c r="Z32" s="6">
        <f t="shared" si="15"/>
        <v>2.7091072579943976E-2</v>
      </c>
    </row>
    <row r="33" spans="1:26" s="24" customFormat="1" hidden="1" outlineLevel="2" x14ac:dyDescent="0.25">
      <c r="A33" s="28"/>
      <c r="B33" s="11" t="str">
        <f>CONCATENATE("          ", "6004", " - ", "STAFF HOURLY")</f>
        <v xml:space="preserve">          6004 - STAFF HOURLY</v>
      </c>
      <c r="C33" s="11"/>
      <c r="D33" s="7">
        <v>18216.78</v>
      </c>
      <c r="E33" s="2"/>
      <c r="F33" s="6">
        <f t="shared" si="8"/>
        <v>0</v>
      </c>
      <c r="G33" s="2"/>
      <c r="H33" s="7">
        <v>17369.990000000002</v>
      </c>
      <c r="I33" s="2"/>
      <c r="J33" s="6">
        <f t="shared" si="9"/>
        <v>0</v>
      </c>
      <c r="K33" s="2"/>
      <c r="L33" s="7">
        <f t="shared" si="10"/>
        <v>846.78999999999724</v>
      </c>
      <c r="M33" s="2"/>
      <c r="N33" s="6">
        <f t="shared" si="11"/>
        <v>4.8750171992038981E-2</v>
      </c>
      <c r="O33" s="11"/>
      <c r="P33" s="7">
        <v>54517.84</v>
      </c>
      <c r="Q33" s="2"/>
      <c r="R33" s="6">
        <f t="shared" si="12"/>
        <v>0</v>
      </c>
      <c r="S33" s="2"/>
      <c r="T33" s="7">
        <v>53248.88</v>
      </c>
      <c r="U33" s="2"/>
      <c r="V33" s="6">
        <f t="shared" si="13"/>
        <v>0</v>
      </c>
      <c r="W33" s="2"/>
      <c r="X33" s="7">
        <f t="shared" si="14"/>
        <v>1268.9599999999991</v>
      </c>
      <c r="Y33" s="2"/>
      <c r="Z33" s="6">
        <f t="shared" si="15"/>
        <v>2.3830735970409127E-2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7">
        <v>1613.25</v>
      </c>
      <c r="E34" s="2"/>
      <c r="F34" s="6">
        <f t="shared" si="8"/>
        <v>0</v>
      </c>
      <c r="G34" s="2"/>
      <c r="H34" s="7">
        <v>6074.61</v>
      </c>
      <c r="I34" s="2"/>
      <c r="J34" s="6">
        <f t="shared" si="9"/>
        <v>0</v>
      </c>
      <c r="K34" s="2"/>
      <c r="L34" s="7">
        <f t="shared" si="10"/>
        <v>-4461.3599999999997</v>
      </c>
      <c r="M34" s="2"/>
      <c r="N34" s="6">
        <f t="shared" si="11"/>
        <v>-0.73442739533896007</v>
      </c>
      <c r="O34" s="11"/>
      <c r="P34" s="7">
        <v>4614.5</v>
      </c>
      <c r="Q34" s="2"/>
      <c r="R34" s="6">
        <f t="shared" si="12"/>
        <v>0</v>
      </c>
      <c r="S34" s="2"/>
      <c r="T34" s="7">
        <v>17714.689999999999</v>
      </c>
      <c r="U34" s="2"/>
      <c r="V34" s="6">
        <f t="shared" si="13"/>
        <v>0</v>
      </c>
      <c r="W34" s="2"/>
      <c r="X34" s="7">
        <f t="shared" si="14"/>
        <v>-13100.189999999999</v>
      </c>
      <c r="Y34" s="2"/>
      <c r="Z34" s="6">
        <f t="shared" si="15"/>
        <v>-0.73950997731261459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7">
        <v>1440.96</v>
      </c>
      <c r="E35" s="2"/>
      <c r="F35" s="6">
        <f t="shared" si="8"/>
        <v>0</v>
      </c>
      <c r="G35" s="2"/>
      <c r="H35" s="7">
        <v>231.39</v>
      </c>
      <c r="I35" s="2"/>
      <c r="J35" s="6">
        <f t="shared" si="9"/>
        <v>0</v>
      </c>
      <c r="K35" s="2"/>
      <c r="L35" s="7">
        <f t="shared" si="10"/>
        <v>1209.5700000000002</v>
      </c>
      <c r="M35" s="2"/>
      <c r="N35" s="6">
        <f t="shared" si="11"/>
        <v>5.2274082717489962</v>
      </c>
      <c r="O35" s="11"/>
      <c r="P35" s="7">
        <v>5207.96</v>
      </c>
      <c r="Q35" s="2"/>
      <c r="R35" s="6">
        <f t="shared" si="12"/>
        <v>0</v>
      </c>
      <c r="S35" s="2"/>
      <c r="T35" s="7">
        <v>5955.28</v>
      </c>
      <c r="U35" s="2"/>
      <c r="V35" s="6">
        <f t="shared" si="13"/>
        <v>0</v>
      </c>
      <c r="W35" s="2"/>
      <c r="X35" s="7">
        <f t="shared" si="14"/>
        <v>-747.31999999999971</v>
      </c>
      <c r="Y35" s="2"/>
      <c r="Z35" s="6">
        <f t="shared" si="15"/>
        <v>-0.12548864201179452</v>
      </c>
    </row>
    <row r="36" spans="1:26" s="24" customFormat="1" hidden="1" outlineLevel="2" x14ac:dyDescent="0.25">
      <c r="A36" s="28"/>
      <c r="B36" s="11" t="str">
        <f>CONCATENATE("          ", "6008", " - ", "STUDENT HOURLY-FICA EXEMPT")</f>
        <v xml:space="preserve">          6008 - STUDENT HOURLY-FICA EXEMPT</v>
      </c>
      <c r="C36" s="11"/>
      <c r="D36" s="7">
        <v>872.52</v>
      </c>
      <c r="E36" s="2"/>
      <c r="F36" s="6">
        <f t="shared" si="8"/>
        <v>0</v>
      </c>
      <c r="G36" s="2"/>
      <c r="H36" s="7">
        <v>1170.47</v>
      </c>
      <c r="I36" s="2"/>
      <c r="J36" s="6">
        <f t="shared" si="9"/>
        <v>0</v>
      </c>
      <c r="K36" s="2"/>
      <c r="L36" s="7">
        <f t="shared" si="10"/>
        <v>-297.95000000000005</v>
      </c>
      <c r="M36" s="2"/>
      <c r="N36" s="6">
        <f t="shared" si="11"/>
        <v>-0.25455586217502374</v>
      </c>
      <c r="O36" s="11"/>
      <c r="P36" s="7">
        <v>5974.84</v>
      </c>
      <c r="Q36" s="2"/>
      <c r="R36" s="6">
        <f t="shared" si="12"/>
        <v>0</v>
      </c>
      <c r="S36" s="2"/>
      <c r="T36" s="7">
        <v>4209.33</v>
      </c>
      <c r="U36" s="2"/>
      <c r="V36" s="6">
        <f t="shared" si="13"/>
        <v>0</v>
      </c>
      <c r="W36" s="2"/>
      <c r="X36" s="7">
        <f t="shared" si="14"/>
        <v>1765.5100000000002</v>
      </c>
      <c r="Y36" s="2"/>
      <c r="Z36" s="6">
        <f t="shared" si="15"/>
        <v>0.41942779492223231</v>
      </c>
    </row>
    <row r="37" spans="1:26" s="27" customFormat="1" outlineLevel="1" collapsed="1" x14ac:dyDescent="0.25">
      <c r="A37" s="29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110.84</v>
      </c>
      <c r="E37" s="1"/>
      <c r="F37" s="5">
        <f t="shared" ref="F37:F51" si="16">IF(D$12=0,0,D37/D$12)</f>
        <v>0</v>
      </c>
      <c r="G37" s="1"/>
      <c r="H37" s="1">
        <f>SUM(OSRRefH22_2x_0)</f>
        <v>178.16</v>
      </c>
      <c r="I37" s="1"/>
      <c r="J37" s="5">
        <f t="shared" ref="J37:J51" si="17">IF(H$12=0,0,H37/H$12)</f>
        <v>0</v>
      </c>
      <c r="K37" s="1"/>
      <c r="L37" s="1">
        <f t="shared" ref="L37:L51" si="18">+D37-H37</f>
        <v>-67.319999999999993</v>
      </c>
      <c r="M37" s="1"/>
      <c r="N37" s="5">
        <f t="shared" ref="N37:N51" si="19">IF(H37=0,0,L37/H37)</f>
        <v>-0.37786259541984729</v>
      </c>
      <c r="O37" s="14"/>
      <c r="P37" s="1">
        <f>SUM(OSRRefP22_2x_0)</f>
        <v>586.44000000000005</v>
      </c>
      <c r="Q37" s="1"/>
      <c r="R37" s="5">
        <f t="shared" ref="R37:R51" si="20">IF(P$12=0,0,P37/P$12)</f>
        <v>0</v>
      </c>
      <c r="S37" s="1"/>
      <c r="T37" s="1">
        <f>SUM(OSRRefT22_2x_0)</f>
        <v>413.22</v>
      </c>
      <c r="U37" s="1"/>
      <c r="V37" s="5">
        <f t="shared" ref="V37:V51" si="21">IF(T$12=0,0,T37/T$12)</f>
        <v>0</v>
      </c>
      <c r="W37" s="1"/>
      <c r="X37" s="1">
        <f t="shared" ref="X37:X51" si="22">+P37-T37</f>
        <v>173.22000000000003</v>
      </c>
      <c r="Y37" s="1"/>
      <c r="Z37" s="5">
        <f t="shared" ref="Z37:Z51" si="23">IF(T37=0,0,X37/T37)</f>
        <v>0.41919558588645278</v>
      </c>
    </row>
    <row r="38" spans="1:26" s="24" customFormat="1" hidden="1" outlineLevel="2" x14ac:dyDescent="0.25">
      <c r="A38" s="28"/>
      <c r="B38" s="11" t="str">
        <f>CONCATENATE("          ", "6362", " - ", "ADVERTISING EXPENSE")</f>
        <v xml:space="preserve">          6362 - ADVERTISING EXPENSE</v>
      </c>
      <c r="C38" s="11"/>
      <c r="D38" s="7">
        <v>110.84</v>
      </c>
      <c r="E38" s="2"/>
      <c r="F38" s="6">
        <f t="shared" si="16"/>
        <v>0</v>
      </c>
      <c r="G38" s="2"/>
      <c r="H38" s="7">
        <v>178.16</v>
      </c>
      <c r="I38" s="2"/>
      <c r="J38" s="6">
        <f t="shared" si="17"/>
        <v>0</v>
      </c>
      <c r="K38" s="2"/>
      <c r="L38" s="7">
        <f t="shared" si="18"/>
        <v>-67.319999999999993</v>
      </c>
      <c r="M38" s="2"/>
      <c r="N38" s="6">
        <f t="shared" si="19"/>
        <v>-0.37786259541984729</v>
      </c>
      <c r="O38" s="11"/>
      <c r="P38" s="7">
        <v>586.44000000000005</v>
      </c>
      <c r="Q38" s="2"/>
      <c r="R38" s="6">
        <f t="shared" si="20"/>
        <v>0</v>
      </c>
      <c r="S38" s="2"/>
      <c r="T38" s="7">
        <v>413.22</v>
      </c>
      <c r="U38" s="2"/>
      <c r="V38" s="6">
        <f t="shared" si="21"/>
        <v>0</v>
      </c>
      <c r="W38" s="2"/>
      <c r="X38" s="7">
        <f t="shared" si="22"/>
        <v>173.22000000000003</v>
      </c>
      <c r="Y38" s="2"/>
      <c r="Z38" s="6">
        <f t="shared" si="23"/>
        <v>0.41919558588645278</v>
      </c>
    </row>
    <row r="39" spans="1:26" s="27" customFormat="1" outlineLevel="1" collapsed="1" x14ac:dyDescent="0.25">
      <c r="A39" s="29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7</v>
      </c>
      <c r="E39" s="1"/>
      <c r="F39" s="5">
        <f t="shared" si="16"/>
        <v>0</v>
      </c>
      <c r="G39" s="1"/>
      <c r="H39" s="1">
        <f>SUM(OSRRefH22_3x_0)</f>
        <v>7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4"/>
      <c r="P39" s="1">
        <f>SUM(OSRRefP22_3x_0)</f>
        <v>2363.86</v>
      </c>
      <c r="Q39" s="1"/>
      <c r="R39" s="5">
        <f t="shared" si="20"/>
        <v>0</v>
      </c>
      <c r="S39" s="1"/>
      <c r="T39" s="1">
        <f>SUM(OSRRefT22_3x_0)</f>
        <v>937.98</v>
      </c>
      <c r="U39" s="1"/>
      <c r="V39" s="5">
        <f t="shared" si="21"/>
        <v>0</v>
      </c>
      <c r="W39" s="1"/>
      <c r="X39" s="1">
        <f t="shared" si="22"/>
        <v>1425.88</v>
      </c>
      <c r="Y39" s="1"/>
      <c r="Z39" s="5">
        <f t="shared" si="23"/>
        <v>1.5201603445702467</v>
      </c>
    </row>
    <row r="40" spans="1:26" s="24" customFormat="1" hidden="1" outlineLevel="2" x14ac:dyDescent="0.25">
      <c r="A40" s="28"/>
      <c r="B40" s="11" t="str">
        <f>CONCATENATE("          ", "6381", " - ", "BANK/CREDIT CARD FEES")</f>
        <v xml:space="preserve">          6381 - BANK/CREDIT CARD FEES</v>
      </c>
      <c r="C40" s="11"/>
      <c r="D40" s="7">
        <v>7</v>
      </c>
      <c r="E40" s="2"/>
      <c r="F40" s="6">
        <f t="shared" si="16"/>
        <v>0</v>
      </c>
      <c r="G40" s="2"/>
      <c r="H40" s="7">
        <v>7</v>
      </c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>
        <v>2363.86</v>
      </c>
      <c r="Q40" s="2"/>
      <c r="R40" s="6">
        <f t="shared" si="20"/>
        <v>0</v>
      </c>
      <c r="S40" s="2"/>
      <c r="T40" s="7">
        <v>937.98</v>
      </c>
      <c r="U40" s="2"/>
      <c r="V40" s="6">
        <f t="shared" si="21"/>
        <v>0</v>
      </c>
      <c r="W40" s="2"/>
      <c r="X40" s="7">
        <f t="shared" si="22"/>
        <v>1425.88</v>
      </c>
      <c r="Y40" s="2"/>
      <c r="Z40" s="6">
        <f t="shared" si="23"/>
        <v>1.5201603445702467</v>
      </c>
    </row>
    <row r="41" spans="1:26" s="27" customFormat="1" outlineLevel="1" collapsed="1" x14ac:dyDescent="0.25">
      <c r="A41" s="29"/>
      <c r="B41" s="14" t="str">
        <f>CONCATENATE("     ","Board                                             ")</f>
        <v xml:space="preserve">     Board                                             </v>
      </c>
      <c r="C41" s="14"/>
      <c r="D41" s="1">
        <f>SUM(OSRRefD22_4x_0)</f>
        <v>1425.15</v>
      </c>
      <c r="E41" s="1"/>
      <c r="F41" s="5">
        <f t="shared" si="16"/>
        <v>0</v>
      </c>
      <c r="G41" s="1"/>
      <c r="H41" s="1">
        <f>SUM(OSRRefH22_4x_0)</f>
        <v>833.04</v>
      </c>
      <c r="I41" s="1"/>
      <c r="J41" s="5">
        <f t="shared" si="17"/>
        <v>0</v>
      </c>
      <c r="K41" s="1"/>
      <c r="L41" s="1">
        <f t="shared" si="18"/>
        <v>592.11000000000013</v>
      </c>
      <c r="M41" s="1"/>
      <c r="N41" s="5">
        <f t="shared" si="19"/>
        <v>0.71078219533275733</v>
      </c>
      <c r="O41" s="14"/>
      <c r="P41" s="1">
        <f>SUM(OSRRefP22_4x_0)</f>
        <v>3323.91</v>
      </c>
      <c r="Q41" s="1"/>
      <c r="R41" s="5">
        <f t="shared" si="20"/>
        <v>0</v>
      </c>
      <c r="S41" s="1"/>
      <c r="T41" s="1">
        <f>SUM(OSRRefT22_4x_0)</f>
        <v>5970.84</v>
      </c>
      <c r="U41" s="1"/>
      <c r="V41" s="5">
        <f t="shared" si="21"/>
        <v>0</v>
      </c>
      <c r="W41" s="1"/>
      <c r="X41" s="1">
        <f t="shared" si="22"/>
        <v>-2646.9300000000003</v>
      </c>
      <c r="Y41" s="1"/>
      <c r="Z41" s="5">
        <f t="shared" si="23"/>
        <v>-0.4433094840926905</v>
      </c>
    </row>
    <row r="42" spans="1:26" s="24" customFormat="1" hidden="1" outlineLevel="2" x14ac:dyDescent="0.25">
      <c r="A42" s="28"/>
      <c r="B42" s="11" t="str">
        <f>CONCATENATE("          ", "6397", " - ", "BOARD EXPENSES")</f>
        <v xml:space="preserve">          6397 - BOARD EXPENSES</v>
      </c>
      <c r="C42" s="11"/>
      <c r="D42" s="7">
        <v>1425.15</v>
      </c>
      <c r="E42" s="2"/>
      <c r="F42" s="6">
        <f t="shared" si="16"/>
        <v>0</v>
      </c>
      <c r="G42" s="2"/>
      <c r="H42" s="7">
        <v>833.04</v>
      </c>
      <c r="I42" s="2"/>
      <c r="J42" s="6">
        <f t="shared" si="17"/>
        <v>0</v>
      </c>
      <c r="K42" s="2"/>
      <c r="L42" s="7">
        <f t="shared" si="18"/>
        <v>592.11000000000013</v>
      </c>
      <c r="M42" s="2"/>
      <c r="N42" s="6">
        <f t="shared" si="19"/>
        <v>0.71078219533275733</v>
      </c>
      <c r="O42" s="11"/>
      <c r="P42" s="7">
        <v>3323.91</v>
      </c>
      <c r="Q42" s="2"/>
      <c r="R42" s="6">
        <f t="shared" si="20"/>
        <v>0</v>
      </c>
      <c r="S42" s="2"/>
      <c r="T42" s="7">
        <v>5970.84</v>
      </c>
      <c r="U42" s="2"/>
      <c r="V42" s="6">
        <f t="shared" si="21"/>
        <v>0</v>
      </c>
      <c r="W42" s="2"/>
      <c r="X42" s="7">
        <f t="shared" si="22"/>
        <v>-2646.9300000000003</v>
      </c>
      <c r="Y42" s="2"/>
      <c r="Z42" s="6">
        <f t="shared" si="23"/>
        <v>-0.4433094840926905</v>
      </c>
    </row>
    <row r="43" spans="1:26" s="27" customFormat="1" outlineLevel="1" collapsed="1" x14ac:dyDescent="0.25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6972.11</v>
      </c>
      <c r="E43" s="1"/>
      <c r="F43" s="5">
        <f t="shared" si="16"/>
        <v>0</v>
      </c>
      <c r="G43" s="1"/>
      <c r="H43" s="1">
        <f>SUM(OSRRefH22_5x_0)</f>
        <v>7607.15</v>
      </c>
      <c r="I43" s="1"/>
      <c r="J43" s="5">
        <f t="shared" si="17"/>
        <v>0</v>
      </c>
      <c r="K43" s="1"/>
      <c r="L43" s="1">
        <f t="shared" si="18"/>
        <v>-635.04</v>
      </c>
      <c r="M43" s="1"/>
      <c r="N43" s="5">
        <f t="shared" si="19"/>
        <v>-8.3479358235344372E-2</v>
      </c>
      <c r="O43" s="14"/>
      <c r="P43" s="1">
        <f>SUM(OSRRefP22_5x_0)</f>
        <v>20916.349999999999</v>
      </c>
      <c r="Q43" s="1"/>
      <c r="R43" s="5">
        <f t="shared" si="20"/>
        <v>0</v>
      </c>
      <c r="S43" s="1"/>
      <c r="T43" s="1">
        <f>SUM(OSRRefT22_5x_0)</f>
        <v>22821.47</v>
      </c>
      <c r="U43" s="1"/>
      <c r="V43" s="5">
        <f t="shared" si="21"/>
        <v>0</v>
      </c>
      <c r="W43" s="1"/>
      <c r="X43" s="1">
        <f t="shared" si="22"/>
        <v>-1905.1200000000026</v>
      </c>
      <c r="Y43" s="1"/>
      <c r="Z43" s="5">
        <f t="shared" si="23"/>
        <v>-8.3479285076728291E-2</v>
      </c>
    </row>
    <row r="44" spans="1:26" s="24" customFormat="1" hidden="1" outlineLevel="2" x14ac:dyDescent="0.25">
      <c r="A44" s="28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6972.11</v>
      </c>
      <c r="E44" s="2"/>
      <c r="F44" s="6">
        <f t="shared" si="16"/>
        <v>0</v>
      </c>
      <c r="G44" s="2"/>
      <c r="H44" s="7">
        <v>7607.15</v>
      </c>
      <c r="I44" s="2"/>
      <c r="J44" s="6">
        <f t="shared" si="17"/>
        <v>0</v>
      </c>
      <c r="K44" s="2"/>
      <c r="L44" s="7">
        <f t="shared" si="18"/>
        <v>-635.04</v>
      </c>
      <c r="M44" s="2"/>
      <c r="N44" s="6">
        <f t="shared" si="19"/>
        <v>-8.3479358235344372E-2</v>
      </c>
      <c r="O44" s="11"/>
      <c r="P44" s="7">
        <v>20916.349999999999</v>
      </c>
      <c r="Q44" s="2"/>
      <c r="R44" s="6">
        <f t="shared" si="20"/>
        <v>0</v>
      </c>
      <c r="S44" s="2"/>
      <c r="T44" s="7">
        <v>22821.47</v>
      </c>
      <c r="U44" s="2"/>
      <c r="V44" s="6">
        <f t="shared" si="21"/>
        <v>0</v>
      </c>
      <c r="W44" s="2"/>
      <c r="X44" s="7">
        <f t="shared" si="22"/>
        <v>-1905.1200000000026</v>
      </c>
      <c r="Y44" s="2"/>
      <c r="Z44" s="6">
        <f t="shared" si="23"/>
        <v>-8.3479285076728291E-2</v>
      </c>
    </row>
    <row r="45" spans="1:26" s="27" customFormat="1" outlineLevel="1" collapsed="1" x14ac:dyDescent="0.25">
      <c r="A45" s="29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SUM(OSRRefD22_6x_0)</f>
        <v>0</v>
      </c>
      <c r="E45" s="1"/>
      <c r="F45" s="5">
        <f t="shared" si="16"/>
        <v>0</v>
      </c>
      <c r="G45" s="1"/>
      <c r="H45" s="1">
        <f>SUM(OSRRefH22_6x_0)</f>
        <v>0</v>
      </c>
      <c r="I45" s="1"/>
      <c r="J45" s="5">
        <f t="shared" si="17"/>
        <v>0</v>
      </c>
      <c r="K45" s="1"/>
      <c r="L45" s="1">
        <f t="shared" si="18"/>
        <v>0</v>
      </c>
      <c r="M45" s="1"/>
      <c r="N45" s="5">
        <f t="shared" si="19"/>
        <v>0</v>
      </c>
      <c r="O45" s="14"/>
      <c r="P45" s="1">
        <f>SUM(OSRRefP22_6x_0)</f>
        <v>0</v>
      </c>
      <c r="Q45" s="1"/>
      <c r="R45" s="5">
        <f t="shared" si="20"/>
        <v>0</v>
      </c>
      <c r="S45" s="1"/>
      <c r="T45" s="1">
        <f>SUM(OSRRefT22_6x_0)</f>
        <v>81.56</v>
      </c>
      <c r="U45" s="1"/>
      <c r="V45" s="5">
        <f t="shared" si="21"/>
        <v>0</v>
      </c>
      <c r="W45" s="1"/>
      <c r="X45" s="1">
        <f t="shared" si="22"/>
        <v>-81.56</v>
      </c>
      <c r="Y45" s="1"/>
      <c r="Z45" s="5">
        <f t="shared" si="23"/>
        <v>-1</v>
      </c>
    </row>
    <row r="46" spans="1:26" s="24" customFormat="1" hidden="1" outlineLevel="2" x14ac:dyDescent="0.25">
      <c r="A46" s="28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/>
      <c r="Q46" s="2"/>
      <c r="R46" s="6">
        <f t="shared" si="20"/>
        <v>0</v>
      </c>
      <c r="S46" s="2"/>
      <c r="T46" s="7">
        <v>81.56</v>
      </c>
      <c r="U46" s="2"/>
      <c r="V46" s="6">
        <f t="shared" si="21"/>
        <v>0</v>
      </c>
      <c r="W46" s="2"/>
      <c r="X46" s="7">
        <f t="shared" si="22"/>
        <v>-81.56</v>
      </c>
      <c r="Y46" s="2"/>
      <c r="Z46" s="6">
        <f t="shared" si="23"/>
        <v>-1</v>
      </c>
    </row>
    <row r="47" spans="1:26" s="27" customFormat="1" outlineLevel="1" collapsed="1" x14ac:dyDescent="0.25">
      <c r="A47" s="29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SUM(OSRRefD22_7x_0)</f>
        <v>208.97</v>
      </c>
      <c r="E47" s="1"/>
      <c r="F47" s="5">
        <f t="shared" si="16"/>
        <v>0</v>
      </c>
      <c r="G47" s="1"/>
      <c r="H47" s="1">
        <f>SUM(OSRRefH22_7x_0)</f>
        <v>208.97</v>
      </c>
      <c r="I47" s="1"/>
      <c r="J47" s="5">
        <f t="shared" si="17"/>
        <v>0</v>
      </c>
      <c r="K47" s="1"/>
      <c r="L47" s="1">
        <f t="shared" si="18"/>
        <v>0</v>
      </c>
      <c r="M47" s="1"/>
      <c r="N47" s="5">
        <f t="shared" si="19"/>
        <v>0</v>
      </c>
      <c r="O47" s="14"/>
      <c r="P47" s="1">
        <f>SUM(OSRRefP22_7x_0)</f>
        <v>626.91</v>
      </c>
      <c r="Q47" s="1"/>
      <c r="R47" s="5">
        <f t="shared" si="20"/>
        <v>0</v>
      </c>
      <c r="S47" s="1"/>
      <c r="T47" s="1">
        <f>SUM(OSRRefT22_7x_0)</f>
        <v>626.91</v>
      </c>
      <c r="U47" s="1"/>
      <c r="V47" s="5">
        <f t="shared" si="21"/>
        <v>0</v>
      </c>
      <c r="W47" s="1"/>
      <c r="X47" s="1">
        <f t="shared" si="22"/>
        <v>0</v>
      </c>
      <c r="Y47" s="1"/>
      <c r="Z47" s="5">
        <f t="shared" si="23"/>
        <v>0</v>
      </c>
    </row>
    <row r="48" spans="1:26" s="24" customFormat="1" hidden="1" outlineLevel="2" x14ac:dyDescent="0.25">
      <c r="A48" s="28"/>
      <c r="B48" s="11" t="str">
        <f>CONCATENATE("          ", "6351", " - ", "EQUIPMENT RENTAL")</f>
        <v xml:space="preserve">          6351 - EQUIPMENT RENTAL</v>
      </c>
      <c r="C48" s="11"/>
      <c r="D48" s="7">
        <v>208.97</v>
      </c>
      <c r="E48" s="2"/>
      <c r="F48" s="6">
        <f t="shared" si="16"/>
        <v>0</v>
      </c>
      <c r="G48" s="2"/>
      <c r="H48" s="7">
        <v>208.97</v>
      </c>
      <c r="I48" s="2"/>
      <c r="J48" s="6">
        <f t="shared" si="17"/>
        <v>0</v>
      </c>
      <c r="K48" s="2"/>
      <c r="L48" s="7">
        <f t="shared" si="18"/>
        <v>0</v>
      </c>
      <c r="M48" s="2"/>
      <c r="N48" s="6">
        <f t="shared" si="19"/>
        <v>0</v>
      </c>
      <c r="O48" s="11"/>
      <c r="P48" s="7">
        <v>626.91</v>
      </c>
      <c r="Q48" s="2"/>
      <c r="R48" s="6">
        <f t="shared" si="20"/>
        <v>0</v>
      </c>
      <c r="S48" s="2"/>
      <c r="T48" s="7">
        <v>626.91</v>
      </c>
      <c r="U48" s="2"/>
      <c r="V48" s="6">
        <f t="shared" si="21"/>
        <v>0</v>
      </c>
      <c r="W48" s="2"/>
      <c r="X48" s="7">
        <f t="shared" si="22"/>
        <v>0</v>
      </c>
      <c r="Y48" s="2"/>
      <c r="Z48" s="6">
        <f t="shared" si="23"/>
        <v>0</v>
      </c>
    </row>
    <row r="49" spans="1:26" s="27" customFormat="1" outlineLevel="1" collapsed="1" x14ac:dyDescent="0.25">
      <c r="A49" s="29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SUM(OSRRefD22_8x_0)</f>
        <v>228.65</v>
      </c>
      <c r="E49" s="1"/>
      <c r="F49" s="5">
        <f t="shared" si="16"/>
        <v>0</v>
      </c>
      <c r="G49" s="1"/>
      <c r="H49" s="1">
        <f>SUM(OSRRefH22_8x_0)</f>
        <v>140.93</v>
      </c>
      <c r="I49" s="1"/>
      <c r="J49" s="5">
        <f t="shared" si="17"/>
        <v>0</v>
      </c>
      <c r="K49" s="1"/>
      <c r="L49" s="1">
        <f t="shared" si="18"/>
        <v>87.72</v>
      </c>
      <c r="M49" s="1"/>
      <c r="N49" s="5">
        <f t="shared" si="19"/>
        <v>0.62243667068757536</v>
      </c>
      <c r="O49" s="14"/>
      <c r="P49" s="1">
        <f>SUM(OSRRefP22_8x_0)</f>
        <v>514.54</v>
      </c>
      <c r="Q49" s="1"/>
      <c r="R49" s="5">
        <f t="shared" si="20"/>
        <v>0</v>
      </c>
      <c r="S49" s="1"/>
      <c r="T49" s="1">
        <f>SUM(OSRRefT22_8x_0)</f>
        <v>398.94</v>
      </c>
      <c r="U49" s="1"/>
      <c r="V49" s="5">
        <f t="shared" si="21"/>
        <v>0</v>
      </c>
      <c r="W49" s="1"/>
      <c r="X49" s="1">
        <f t="shared" si="22"/>
        <v>115.59999999999997</v>
      </c>
      <c r="Y49" s="1"/>
      <c r="Z49" s="5">
        <f t="shared" si="23"/>
        <v>0.28976788489497157</v>
      </c>
    </row>
    <row r="50" spans="1:26" s="24" customFormat="1" hidden="1" outlineLevel="2" x14ac:dyDescent="0.25">
      <c r="A50" s="28"/>
      <c r="B50" s="11" t="str">
        <f>CONCATENATE("          ", "6305", " - ", "FREIGHT OUT")</f>
        <v xml:space="preserve">          6305 - FREIGHT OUT</v>
      </c>
      <c r="C50" s="11"/>
      <c r="D50" s="7"/>
      <c r="E50" s="2"/>
      <c r="F50" s="6">
        <f t="shared" si="16"/>
        <v>0</v>
      </c>
      <c r="G50" s="2"/>
      <c r="H50" s="7"/>
      <c r="I50" s="2"/>
      <c r="J50" s="6">
        <f t="shared" si="17"/>
        <v>0</v>
      </c>
      <c r="K50" s="2"/>
      <c r="L50" s="7">
        <f t="shared" si="18"/>
        <v>0</v>
      </c>
      <c r="M50" s="2"/>
      <c r="N50" s="6">
        <f t="shared" si="19"/>
        <v>0</v>
      </c>
      <c r="O50" s="11"/>
      <c r="P50" s="7"/>
      <c r="Q50" s="2"/>
      <c r="R50" s="6">
        <f t="shared" si="20"/>
        <v>0</v>
      </c>
      <c r="S50" s="2"/>
      <c r="T50" s="7">
        <v>5.41</v>
      </c>
      <c r="U50" s="2"/>
      <c r="V50" s="6">
        <f t="shared" si="21"/>
        <v>0</v>
      </c>
      <c r="W50" s="2"/>
      <c r="X50" s="7">
        <f t="shared" si="22"/>
        <v>-5.41</v>
      </c>
      <c r="Y50" s="2"/>
      <c r="Z50" s="6">
        <f t="shared" si="23"/>
        <v>-1</v>
      </c>
    </row>
    <row r="51" spans="1:26" s="24" customFormat="1" hidden="1" outlineLevel="2" x14ac:dyDescent="0.25">
      <c r="A51" s="28"/>
      <c r="B51" s="11" t="str">
        <f>CONCATENATE("          ", "6307", " - ", "POSTAGE")</f>
        <v xml:space="preserve">          6307 - POSTAGE</v>
      </c>
      <c r="C51" s="11"/>
      <c r="D51" s="7">
        <v>228.65</v>
      </c>
      <c r="E51" s="2"/>
      <c r="F51" s="6">
        <f t="shared" si="16"/>
        <v>0</v>
      </c>
      <c r="G51" s="2"/>
      <c r="H51" s="7">
        <v>140.93</v>
      </c>
      <c r="I51" s="2"/>
      <c r="J51" s="6">
        <f t="shared" si="17"/>
        <v>0</v>
      </c>
      <c r="K51" s="2"/>
      <c r="L51" s="7">
        <f t="shared" si="18"/>
        <v>87.72</v>
      </c>
      <c r="M51" s="2"/>
      <c r="N51" s="6">
        <f t="shared" si="19"/>
        <v>0.62243667068757536</v>
      </c>
      <c r="O51" s="11"/>
      <c r="P51" s="7">
        <v>514.54</v>
      </c>
      <c r="Q51" s="2"/>
      <c r="R51" s="6">
        <f t="shared" si="20"/>
        <v>0</v>
      </c>
      <c r="S51" s="2"/>
      <c r="T51" s="7">
        <v>393.53</v>
      </c>
      <c r="U51" s="2"/>
      <c r="V51" s="6">
        <f t="shared" si="21"/>
        <v>0</v>
      </c>
      <c r="W51" s="2"/>
      <c r="X51" s="7">
        <f t="shared" si="22"/>
        <v>121.00999999999999</v>
      </c>
      <c r="Y51" s="2"/>
      <c r="Z51" s="6">
        <f t="shared" si="23"/>
        <v>0.30749879297639315</v>
      </c>
    </row>
    <row r="52" spans="1:26" s="27" customFormat="1" outlineLevel="1" collapsed="1" x14ac:dyDescent="0.25">
      <c r="A52" s="29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SUM(OSRRefD22_9x_0)</f>
        <v>890.75</v>
      </c>
      <c r="E52" s="1"/>
      <c r="F52" s="5">
        <f t="shared" ref="F52:F59" si="24">IF(D$12=0,0,D52/D$12)</f>
        <v>0</v>
      </c>
      <c r="G52" s="1"/>
      <c r="H52" s="1">
        <f>SUM(OSRRefH22_9x_0)</f>
        <v>850.54</v>
      </c>
      <c r="I52" s="1"/>
      <c r="J52" s="5">
        <f t="shared" ref="J52:J59" si="25">IF(H$12=0,0,H52/H$12)</f>
        <v>0</v>
      </c>
      <c r="K52" s="1"/>
      <c r="L52" s="1">
        <f t="shared" ref="L52:L59" si="26">+D52-H52</f>
        <v>40.210000000000036</v>
      </c>
      <c r="M52" s="1"/>
      <c r="N52" s="5">
        <f t="shared" ref="N52:N59" si="27">IF(H52=0,0,L52/H52)</f>
        <v>4.7275848284619226E-2</v>
      </c>
      <c r="O52" s="14"/>
      <c r="P52" s="1">
        <f>SUM(OSRRefP22_9x_0)</f>
        <v>2120.75</v>
      </c>
      <c r="Q52" s="1"/>
      <c r="R52" s="5">
        <f t="shared" ref="R52:R59" si="28">IF(P$12=0,0,P52/P$12)</f>
        <v>0</v>
      </c>
      <c r="S52" s="1"/>
      <c r="T52" s="1">
        <f>SUM(OSRRefT22_9x_0)</f>
        <v>166.54</v>
      </c>
      <c r="U52" s="1"/>
      <c r="V52" s="5">
        <f t="shared" ref="V52:V59" si="29">IF(T$12=0,0,T52/T$12)</f>
        <v>0</v>
      </c>
      <c r="W52" s="1"/>
      <c r="X52" s="1">
        <f t="shared" ref="X52:X59" si="30">+P52-T52</f>
        <v>1954.21</v>
      </c>
      <c r="Y52" s="1"/>
      <c r="Z52" s="5">
        <f t="shared" ref="Z52:Z59" si="31">IF(T52=0,0,X52/T52)</f>
        <v>11.734177975261199</v>
      </c>
    </row>
    <row r="53" spans="1:26" s="24" customFormat="1" hidden="1" outlineLevel="2" x14ac:dyDescent="0.25">
      <c r="A53" s="28"/>
      <c r="B53" s="11" t="str">
        <f>CONCATENATE("          ", "6279", " - ", "GENERAL EXPENSE")</f>
        <v xml:space="preserve">          6279 - GENERAL EXPENSE</v>
      </c>
      <c r="C53" s="11"/>
      <c r="D53" s="7">
        <v>890.75</v>
      </c>
      <c r="E53" s="2"/>
      <c r="F53" s="6">
        <f t="shared" si="24"/>
        <v>0</v>
      </c>
      <c r="G53" s="2"/>
      <c r="H53" s="7">
        <v>850.54</v>
      </c>
      <c r="I53" s="2"/>
      <c r="J53" s="6">
        <f t="shared" si="25"/>
        <v>0</v>
      </c>
      <c r="K53" s="2"/>
      <c r="L53" s="7">
        <f t="shared" si="26"/>
        <v>40.210000000000036</v>
      </c>
      <c r="M53" s="2"/>
      <c r="N53" s="6">
        <f t="shared" si="27"/>
        <v>4.7275848284619226E-2</v>
      </c>
      <c r="O53" s="11"/>
      <c r="P53" s="7">
        <v>2120.75</v>
      </c>
      <c r="Q53" s="2"/>
      <c r="R53" s="6">
        <f t="shared" si="28"/>
        <v>0</v>
      </c>
      <c r="S53" s="2"/>
      <c r="T53" s="7">
        <v>166.54</v>
      </c>
      <c r="U53" s="2"/>
      <c r="V53" s="6">
        <f t="shared" si="29"/>
        <v>0</v>
      </c>
      <c r="W53" s="2"/>
      <c r="X53" s="7">
        <f t="shared" si="30"/>
        <v>1954.21</v>
      </c>
      <c r="Y53" s="2"/>
      <c r="Z53" s="6">
        <f t="shared" si="31"/>
        <v>11.734177975261199</v>
      </c>
    </row>
    <row r="54" spans="1:26" s="27" customFormat="1" outlineLevel="1" collapsed="1" x14ac:dyDescent="0.25">
      <c r="A54" s="29"/>
      <c r="B54" s="14" t="str">
        <f>CONCATENATE("     ","Insurance                                         ")</f>
        <v xml:space="preserve">     Insurance                                         </v>
      </c>
      <c r="C54" s="14"/>
      <c r="D54" s="1">
        <f>SUM(OSRRefD22_10x_0)</f>
        <v>535.05999999999995</v>
      </c>
      <c r="E54" s="1"/>
      <c r="F54" s="5">
        <f t="shared" si="24"/>
        <v>0</v>
      </c>
      <c r="G54" s="1"/>
      <c r="H54" s="1">
        <f>SUM(OSRRefH22_10x_0)</f>
        <v>393.67</v>
      </c>
      <c r="I54" s="1"/>
      <c r="J54" s="5">
        <f t="shared" si="25"/>
        <v>0</v>
      </c>
      <c r="K54" s="1"/>
      <c r="L54" s="1">
        <f t="shared" si="26"/>
        <v>141.38999999999993</v>
      </c>
      <c r="M54" s="1"/>
      <c r="N54" s="5">
        <f t="shared" si="27"/>
        <v>0.35915868620926139</v>
      </c>
      <c r="O54" s="14"/>
      <c r="P54" s="1">
        <f>SUM(OSRRefP22_10x_0)</f>
        <v>1605.18</v>
      </c>
      <c r="Q54" s="1"/>
      <c r="R54" s="5">
        <f t="shared" si="28"/>
        <v>0</v>
      </c>
      <c r="S54" s="1"/>
      <c r="T54" s="1">
        <f>SUM(OSRRefT22_10x_0)</f>
        <v>1181.01</v>
      </c>
      <c r="U54" s="1"/>
      <c r="V54" s="5">
        <f t="shared" si="29"/>
        <v>0</v>
      </c>
      <c r="W54" s="1"/>
      <c r="X54" s="1">
        <f t="shared" si="30"/>
        <v>424.17000000000007</v>
      </c>
      <c r="Y54" s="1"/>
      <c r="Z54" s="5">
        <f t="shared" si="31"/>
        <v>0.35915868620926161</v>
      </c>
    </row>
    <row r="55" spans="1:26" s="24" customFormat="1" hidden="1" outlineLevel="2" x14ac:dyDescent="0.25">
      <c r="A55" s="28"/>
      <c r="B55" s="11" t="str">
        <f>CONCATENATE("          ", "6314", " - ", "LIABILITY INSURANCE")</f>
        <v xml:space="preserve">          6314 - LIABILITY INSURANCE</v>
      </c>
      <c r="C55" s="11"/>
      <c r="D55" s="7">
        <v>535.05999999999995</v>
      </c>
      <c r="E55" s="2"/>
      <c r="F55" s="6">
        <f t="shared" si="24"/>
        <v>0</v>
      </c>
      <c r="G55" s="2"/>
      <c r="H55" s="7">
        <v>393.67</v>
      </c>
      <c r="I55" s="2"/>
      <c r="J55" s="6">
        <f t="shared" si="25"/>
        <v>0</v>
      </c>
      <c r="K55" s="2"/>
      <c r="L55" s="7">
        <f t="shared" si="26"/>
        <v>141.38999999999993</v>
      </c>
      <c r="M55" s="2"/>
      <c r="N55" s="6">
        <f t="shared" si="27"/>
        <v>0.35915868620926139</v>
      </c>
      <c r="O55" s="11"/>
      <c r="P55" s="7">
        <v>1605.18</v>
      </c>
      <c r="Q55" s="2"/>
      <c r="R55" s="6">
        <f t="shared" si="28"/>
        <v>0</v>
      </c>
      <c r="S55" s="2"/>
      <c r="T55" s="7">
        <v>1181.01</v>
      </c>
      <c r="U55" s="2"/>
      <c r="V55" s="6">
        <f t="shared" si="29"/>
        <v>0</v>
      </c>
      <c r="W55" s="2"/>
      <c r="X55" s="7">
        <f t="shared" si="30"/>
        <v>424.17000000000007</v>
      </c>
      <c r="Y55" s="2"/>
      <c r="Z55" s="6">
        <f t="shared" si="31"/>
        <v>0.35915868620926161</v>
      </c>
    </row>
    <row r="56" spans="1:26" s="27" customFormat="1" outlineLevel="1" collapsed="1" x14ac:dyDescent="0.25">
      <c r="A56" s="29"/>
      <c r="B56" s="14" t="str">
        <f>CONCATENATE("     ","Professional Services                             ")</f>
        <v xml:space="preserve">     Professional Services                             </v>
      </c>
      <c r="C56" s="14"/>
      <c r="D56" s="1">
        <f>SUM(OSRRefD22_11x_0)</f>
        <v>17753.849999999999</v>
      </c>
      <c r="E56" s="1"/>
      <c r="F56" s="5">
        <f t="shared" si="24"/>
        <v>0</v>
      </c>
      <c r="G56" s="1"/>
      <c r="H56" s="1">
        <f>SUM(OSRRefH22_11x_0)</f>
        <v>9079.17</v>
      </c>
      <c r="I56" s="1"/>
      <c r="J56" s="5">
        <f t="shared" si="25"/>
        <v>0</v>
      </c>
      <c r="K56" s="1"/>
      <c r="L56" s="1">
        <f t="shared" si="26"/>
        <v>8674.6799999999985</v>
      </c>
      <c r="M56" s="1"/>
      <c r="N56" s="5">
        <f t="shared" si="27"/>
        <v>0.9554485707393956</v>
      </c>
      <c r="O56" s="14"/>
      <c r="P56" s="1">
        <f>SUM(OSRRefP22_11x_0)</f>
        <v>33041.599999999999</v>
      </c>
      <c r="Q56" s="1"/>
      <c r="R56" s="5">
        <f t="shared" si="28"/>
        <v>0</v>
      </c>
      <c r="S56" s="1"/>
      <c r="T56" s="1">
        <f>SUM(OSRRefT22_11x_0)</f>
        <v>23817.010000000002</v>
      </c>
      <c r="U56" s="1"/>
      <c r="V56" s="5">
        <f t="shared" si="29"/>
        <v>0</v>
      </c>
      <c r="W56" s="1"/>
      <c r="X56" s="1">
        <f t="shared" si="30"/>
        <v>9224.5899999999965</v>
      </c>
      <c r="Y56" s="1"/>
      <c r="Z56" s="5">
        <f t="shared" si="31"/>
        <v>0.38731100167485322</v>
      </c>
    </row>
    <row r="57" spans="1:26" s="24" customFormat="1" hidden="1" outlineLevel="2" x14ac:dyDescent="0.25">
      <c r="A57" s="28"/>
      <c r="B57" s="11" t="str">
        <f>CONCATENATE("          ", "6331", " - ", "INDIRECT COSTS-AUXILIARY ORGAN")</f>
        <v xml:space="preserve">          6331 - INDIRECT COSTS-AUXILIARY ORGAN</v>
      </c>
      <c r="C57" s="11"/>
      <c r="D57" s="7">
        <v>16500</v>
      </c>
      <c r="E57" s="2"/>
      <c r="F57" s="6">
        <f t="shared" si="24"/>
        <v>0</v>
      </c>
      <c r="G57" s="2"/>
      <c r="H57" s="7">
        <v>8500</v>
      </c>
      <c r="I57" s="2"/>
      <c r="J57" s="6">
        <f t="shared" si="25"/>
        <v>0</v>
      </c>
      <c r="K57" s="2"/>
      <c r="L57" s="7">
        <f t="shared" si="26"/>
        <v>8000</v>
      </c>
      <c r="M57" s="2"/>
      <c r="N57" s="6">
        <f t="shared" si="27"/>
        <v>0.94117647058823528</v>
      </c>
      <c r="O57" s="11"/>
      <c r="P57" s="7">
        <v>26837.75</v>
      </c>
      <c r="Q57" s="2"/>
      <c r="R57" s="6">
        <f t="shared" si="28"/>
        <v>0</v>
      </c>
      <c r="S57" s="2"/>
      <c r="T57" s="7">
        <v>20085.75</v>
      </c>
      <c r="U57" s="2"/>
      <c r="V57" s="6">
        <f t="shared" si="29"/>
        <v>0</v>
      </c>
      <c r="W57" s="2"/>
      <c r="X57" s="7">
        <f t="shared" si="30"/>
        <v>6752</v>
      </c>
      <c r="Y57" s="2"/>
      <c r="Z57" s="6">
        <f t="shared" si="31"/>
        <v>0.33615871949018583</v>
      </c>
    </row>
    <row r="58" spans="1:26" s="24" customFormat="1" hidden="1" outlineLevel="2" x14ac:dyDescent="0.25">
      <c r="A58" s="28"/>
      <c r="B58" s="11" t="str">
        <f>CONCATENATE("          ", "6334", " - ", "LEGAL COUNCIL EXPENSE")</f>
        <v xml:space="preserve">          6334 - LEGAL COUNCIL EXPENSE</v>
      </c>
      <c r="C58" s="11"/>
      <c r="D58" s="7"/>
      <c r="E58" s="2"/>
      <c r="F58" s="6">
        <f t="shared" si="24"/>
        <v>0</v>
      </c>
      <c r="G58" s="2"/>
      <c r="H58" s="7"/>
      <c r="I58" s="2"/>
      <c r="J58" s="6">
        <f t="shared" si="25"/>
        <v>0</v>
      </c>
      <c r="K58" s="2"/>
      <c r="L58" s="7">
        <f t="shared" si="26"/>
        <v>0</v>
      </c>
      <c r="M58" s="2"/>
      <c r="N58" s="6">
        <f t="shared" si="27"/>
        <v>0</v>
      </c>
      <c r="O58" s="11"/>
      <c r="P58" s="7">
        <v>3255</v>
      </c>
      <c r="Q58" s="2"/>
      <c r="R58" s="6">
        <f t="shared" si="28"/>
        <v>0</v>
      </c>
      <c r="S58" s="2"/>
      <c r="T58" s="7">
        <v>1150</v>
      </c>
      <c r="U58" s="2"/>
      <c r="V58" s="6">
        <f t="shared" si="29"/>
        <v>0</v>
      </c>
      <c r="W58" s="2"/>
      <c r="X58" s="7">
        <f t="shared" si="30"/>
        <v>2105</v>
      </c>
      <c r="Y58" s="2"/>
      <c r="Z58" s="6">
        <f t="shared" si="31"/>
        <v>1.8304347826086957</v>
      </c>
    </row>
    <row r="59" spans="1:26" s="24" customFormat="1" hidden="1" outlineLevel="2" x14ac:dyDescent="0.25">
      <c r="A59" s="28"/>
      <c r="B59" s="11" t="str">
        <f>CONCATENATE("          ", "6336", " - ", "PROFESSIONAL SERVICES")</f>
        <v xml:space="preserve">          6336 - PROFESSIONAL SERVICES</v>
      </c>
      <c r="C59" s="11"/>
      <c r="D59" s="7">
        <v>1253.8499999999999</v>
      </c>
      <c r="E59" s="2"/>
      <c r="F59" s="6">
        <f t="shared" si="24"/>
        <v>0</v>
      </c>
      <c r="G59" s="2"/>
      <c r="H59" s="7">
        <v>579.16999999999996</v>
      </c>
      <c r="I59" s="2"/>
      <c r="J59" s="6">
        <f t="shared" si="25"/>
        <v>0</v>
      </c>
      <c r="K59" s="2"/>
      <c r="L59" s="7">
        <f t="shared" si="26"/>
        <v>674.68</v>
      </c>
      <c r="M59" s="2"/>
      <c r="N59" s="6">
        <f t="shared" si="27"/>
        <v>1.1649084034048725</v>
      </c>
      <c r="O59" s="11"/>
      <c r="P59" s="7">
        <v>2948.85</v>
      </c>
      <c r="Q59" s="2"/>
      <c r="R59" s="6">
        <f t="shared" si="28"/>
        <v>0</v>
      </c>
      <c r="S59" s="2"/>
      <c r="T59" s="7">
        <v>2581.2600000000002</v>
      </c>
      <c r="U59" s="2"/>
      <c r="V59" s="6">
        <f t="shared" si="29"/>
        <v>0</v>
      </c>
      <c r="W59" s="2"/>
      <c r="X59" s="7">
        <f t="shared" si="30"/>
        <v>367.58999999999969</v>
      </c>
      <c r="Y59" s="2"/>
      <c r="Z59" s="6">
        <f t="shared" si="31"/>
        <v>0.1424071964854372</v>
      </c>
    </row>
    <row r="60" spans="1:26" s="27" customFormat="1" outlineLevel="1" collapsed="1" x14ac:dyDescent="0.25">
      <c r="A60" s="29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SUM(OSRRefD22_12x_0)</f>
        <v>15329.43</v>
      </c>
      <c r="E60" s="1"/>
      <c r="F60" s="5">
        <f t="shared" ref="F60:F63" si="32">IF(D$12=0,0,D60/D$12)</f>
        <v>0</v>
      </c>
      <c r="G60" s="1"/>
      <c r="H60" s="1">
        <f>SUM(OSRRefH22_12x_0)</f>
        <v>16226.789999999999</v>
      </c>
      <c r="I60" s="1"/>
      <c r="J60" s="5">
        <f t="shared" ref="J60:J63" si="33">IF(H$12=0,0,H60/H$12)</f>
        <v>0</v>
      </c>
      <c r="K60" s="1"/>
      <c r="L60" s="1">
        <f t="shared" ref="L60:L63" si="34">+D60-H60</f>
        <v>-897.35999999999876</v>
      </c>
      <c r="M60" s="1"/>
      <c r="N60" s="5">
        <f t="shared" ref="N60:N63" si="35">IF(H60=0,0,L60/H60)</f>
        <v>-5.5301140891081894E-2</v>
      </c>
      <c r="O60" s="14"/>
      <c r="P60" s="1">
        <f>SUM(OSRRefP22_12x_0)</f>
        <v>51273.110000000008</v>
      </c>
      <c r="Q60" s="1"/>
      <c r="R60" s="5">
        <f t="shared" ref="R60:R63" si="36">IF(P$12=0,0,P60/P$12)</f>
        <v>0</v>
      </c>
      <c r="S60" s="1"/>
      <c r="T60" s="1">
        <f>SUM(OSRRefT22_12x_0)</f>
        <v>56402.460000000006</v>
      </c>
      <c r="U60" s="1"/>
      <c r="V60" s="5">
        <f t="shared" ref="V60:V63" si="37">IF(T$12=0,0,T60/T$12)</f>
        <v>0</v>
      </c>
      <c r="W60" s="1"/>
      <c r="X60" s="1">
        <f t="shared" ref="X60:X63" si="38">+P60-T60</f>
        <v>-5129.3499999999985</v>
      </c>
      <c r="Y60" s="1"/>
      <c r="Z60" s="5">
        <f t="shared" ref="Z60:Z63" si="39">IF(T60=0,0,X60/T60)</f>
        <v>-9.0941955368613325E-2</v>
      </c>
    </row>
    <row r="61" spans="1:26" s="24" customFormat="1" hidden="1" outlineLevel="2" x14ac:dyDescent="0.25">
      <c r="A61" s="28"/>
      <c r="B61" s="11" t="str">
        <f>CONCATENATE("          ", "6371", " - ", "COMPUTER SOFTWARE MAINTENANCE")</f>
        <v xml:space="preserve">          6371 - COMPUTER SOFTWARE MAINTENANCE</v>
      </c>
      <c r="C61" s="11"/>
      <c r="D61" s="7">
        <v>4894.6899999999996</v>
      </c>
      <c r="E61" s="2"/>
      <c r="F61" s="6">
        <f t="shared" si="32"/>
        <v>0</v>
      </c>
      <c r="G61" s="2"/>
      <c r="H61" s="7">
        <v>3663.15</v>
      </c>
      <c r="I61" s="2"/>
      <c r="J61" s="6">
        <f t="shared" si="33"/>
        <v>0</v>
      </c>
      <c r="K61" s="2"/>
      <c r="L61" s="7">
        <f t="shared" si="34"/>
        <v>1231.5399999999995</v>
      </c>
      <c r="M61" s="2"/>
      <c r="N61" s="6">
        <f t="shared" si="35"/>
        <v>0.3361969889302921</v>
      </c>
      <c r="O61" s="11"/>
      <c r="P61" s="7">
        <v>15473.45</v>
      </c>
      <c r="Q61" s="2"/>
      <c r="R61" s="6">
        <f t="shared" si="36"/>
        <v>0</v>
      </c>
      <c r="S61" s="2"/>
      <c r="T61" s="7">
        <v>12141.01</v>
      </c>
      <c r="U61" s="2"/>
      <c r="V61" s="6">
        <f t="shared" si="37"/>
        <v>0</v>
      </c>
      <c r="W61" s="2"/>
      <c r="X61" s="7">
        <f t="shared" si="38"/>
        <v>3332.4400000000005</v>
      </c>
      <c r="Y61" s="2"/>
      <c r="Z61" s="6">
        <f t="shared" si="39"/>
        <v>0.27447798823985819</v>
      </c>
    </row>
    <row r="62" spans="1:26" s="24" customFormat="1" hidden="1" outlineLevel="2" x14ac:dyDescent="0.25">
      <c r="A62" s="28"/>
      <c r="B62" s="11" t="str">
        <f>CONCATENATE("          ", "6373", " - ", "MAINTENANCE CONTRACTS")</f>
        <v xml:space="preserve">          6373 - MAINTENANCE CONTRACTS</v>
      </c>
      <c r="C62" s="11"/>
      <c r="D62" s="7">
        <v>10434.74</v>
      </c>
      <c r="E62" s="2"/>
      <c r="F62" s="6">
        <f t="shared" si="32"/>
        <v>0</v>
      </c>
      <c r="G62" s="2"/>
      <c r="H62" s="7">
        <v>12563.64</v>
      </c>
      <c r="I62" s="2"/>
      <c r="J62" s="6">
        <f t="shared" si="33"/>
        <v>0</v>
      </c>
      <c r="K62" s="2"/>
      <c r="L62" s="7">
        <f t="shared" si="34"/>
        <v>-2128.8999999999996</v>
      </c>
      <c r="M62" s="2"/>
      <c r="N62" s="6">
        <f t="shared" si="35"/>
        <v>-0.16944929972523884</v>
      </c>
      <c r="O62" s="11"/>
      <c r="P62" s="7">
        <v>34033.230000000003</v>
      </c>
      <c r="Q62" s="2"/>
      <c r="R62" s="6">
        <f t="shared" si="36"/>
        <v>0</v>
      </c>
      <c r="S62" s="2"/>
      <c r="T62" s="7">
        <v>43442.26</v>
      </c>
      <c r="U62" s="2"/>
      <c r="V62" s="6">
        <f t="shared" si="37"/>
        <v>0</v>
      </c>
      <c r="W62" s="2"/>
      <c r="X62" s="7">
        <f t="shared" si="38"/>
        <v>-9409.0299999999988</v>
      </c>
      <c r="Y62" s="2"/>
      <c r="Z62" s="6">
        <f t="shared" si="39"/>
        <v>-0.21658702839124849</v>
      </c>
    </row>
    <row r="63" spans="1:26" s="24" customFormat="1" hidden="1" outlineLevel="2" x14ac:dyDescent="0.25">
      <c r="A63" s="28"/>
      <c r="B63" s="11" t="str">
        <f>CONCATENATE("          ", "6375", " - ", "OUTSIDE REPAIRS &amp; MAINTENANCE")</f>
        <v xml:space="preserve">          6375 - OUTSIDE REPAIRS &amp; MAINTENANCE</v>
      </c>
      <c r="C63" s="11"/>
      <c r="D63" s="7"/>
      <c r="E63" s="2"/>
      <c r="F63" s="6">
        <f t="shared" si="32"/>
        <v>0</v>
      </c>
      <c r="G63" s="2"/>
      <c r="H63" s="7"/>
      <c r="I63" s="2"/>
      <c r="J63" s="6">
        <f t="shared" si="33"/>
        <v>0</v>
      </c>
      <c r="K63" s="2"/>
      <c r="L63" s="7">
        <f t="shared" si="34"/>
        <v>0</v>
      </c>
      <c r="M63" s="2"/>
      <c r="N63" s="6">
        <f t="shared" si="35"/>
        <v>0</v>
      </c>
      <c r="O63" s="11"/>
      <c r="P63" s="7">
        <v>1766.43</v>
      </c>
      <c r="Q63" s="2"/>
      <c r="R63" s="6">
        <f t="shared" si="36"/>
        <v>0</v>
      </c>
      <c r="S63" s="2"/>
      <c r="T63" s="7">
        <v>819.19</v>
      </c>
      <c r="U63" s="2"/>
      <c r="V63" s="6">
        <f t="shared" si="37"/>
        <v>0</v>
      </c>
      <c r="W63" s="2"/>
      <c r="X63" s="7">
        <f t="shared" si="38"/>
        <v>947.24</v>
      </c>
      <c r="Y63" s="2"/>
      <c r="Z63" s="6">
        <f t="shared" si="39"/>
        <v>1.1563129432732333</v>
      </c>
    </row>
    <row r="64" spans="1:26" s="27" customFormat="1" outlineLevel="1" collapsed="1" x14ac:dyDescent="0.25">
      <c r="A64" s="29"/>
      <c r="B64" s="14" t="str">
        <f>CONCATENATE("     ","Services                                          ")</f>
        <v xml:space="preserve">     Services                                          </v>
      </c>
      <c r="C64" s="14"/>
      <c r="D64" s="1">
        <f>SUM(OSRRefD22_13x_0)</f>
        <v>657.38</v>
      </c>
      <c r="E64" s="1"/>
      <c r="F64" s="5">
        <f t="shared" ref="F64:F73" si="40">IF(D$12=0,0,D64/D$12)</f>
        <v>0</v>
      </c>
      <c r="G64" s="1"/>
      <c r="H64" s="1">
        <f>SUM(OSRRefH22_13x_0)</f>
        <v>512.48</v>
      </c>
      <c r="I64" s="1"/>
      <c r="J64" s="5">
        <f t="shared" ref="J64:J73" si="41">IF(H$12=0,0,H64/H$12)</f>
        <v>0</v>
      </c>
      <c r="K64" s="1"/>
      <c r="L64" s="1">
        <f t="shared" ref="L64:L73" si="42">+D64-H64</f>
        <v>144.89999999999998</v>
      </c>
      <c r="M64" s="1"/>
      <c r="N64" s="5">
        <f t="shared" ref="N64:N73" si="43">IF(H64=0,0,L64/H64)</f>
        <v>0.28274274118014359</v>
      </c>
      <c r="O64" s="14"/>
      <c r="P64" s="1">
        <f>SUM(OSRRefP22_13x_0)</f>
        <v>2025.27</v>
      </c>
      <c r="Q64" s="1"/>
      <c r="R64" s="5">
        <f t="shared" ref="R64:R73" si="44">IF(P$12=0,0,P64/P$12)</f>
        <v>0</v>
      </c>
      <c r="S64" s="1"/>
      <c r="T64" s="1">
        <f>SUM(OSRRefT22_13x_0)</f>
        <v>1024.96</v>
      </c>
      <c r="U64" s="1"/>
      <c r="V64" s="5">
        <f t="shared" ref="V64:V73" si="45">IF(T$12=0,0,T64/T$12)</f>
        <v>0</v>
      </c>
      <c r="W64" s="1"/>
      <c r="X64" s="1">
        <f t="shared" ref="X64:X73" si="46">+P64-T64</f>
        <v>1000.31</v>
      </c>
      <c r="Y64" s="1"/>
      <c r="Z64" s="5">
        <f t="shared" ref="Z64:Z73" si="47">IF(T64=0,0,X64/T64)</f>
        <v>0.97595028098657499</v>
      </c>
    </row>
    <row r="65" spans="1:26" s="24" customFormat="1" hidden="1" outlineLevel="2" x14ac:dyDescent="0.25">
      <c r="A65" s="28"/>
      <c r="B65" s="11" t="str">
        <f>CONCATENATE("          ", "6281", " - ", "STORAGE FEE")</f>
        <v xml:space="preserve">          6281 - STORAGE FEE</v>
      </c>
      <c r="C65" s="11"/>
      <c r="D65" s="7">
        <v>657.38</v>
      </c>
      <c r="E65" s="2"/>
      <c r="F65" s="6">
        <f t="shared" si="40"/>
        <v>0</v>
      </c>
      <c r="G65" s="2"/>
      <c r="H65" s="7">
        <v>512.48</v>
      </c>
      <c r="I65" s="2"/>
      <c r="J65" s="6">
        <f t="shared" si="41"/>
        <v>0</v>
      </c>
      <c r="K65" s="2"/>
      <c r="L65" s="7">
        <f t="shared" si="42"/>
        <v>144.89999999999998</v>
      </c>
      <c r="M65" s="2"/>
      <c r="N65" s="6">
        <f t="shared" si="43"/>
        <v>0.28274274118014359</v>
      </c>
      <c r="O65" s="11"/>
      <c r="P65" s="7">
        <v>2025.27</v>
      </c>
      <c r="Q65" s="2"/>
      <c r="R65" s="6">
        <f t="shared" si="44"/>
        <v>0</v>
      </c>
      <c r="S65" s="2"/>
      <c r="T65" s="7">
        <v>1024.96</v>
      </c>
      <c r="U65" s="2"/>
      <c r="V65" s="6">
        <f t="shared" si="45"/>
        <v>0</v>
      </c>
      <c r="W65" s="2"/>
      <c r="X65" s="7">
        <f t="shared" si="46"/>
        <v>1000.31</v>
      </c>
      <c r="Y65" s="2"/>
      <c r="Z65" s="6">
        <f t="shared" si="47"/>
        <v>0.97595028098657499</v>
      </c>
    </row>
    <row r="66" spans="1:26" s="27" customFormat="1" outlineLevel="1" collapsed="1" x14ac:dyDescent="0.25">
      <c r="A66" s="29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1">
        <f>SUM(OSRRefD22_14x_0)</f>
        <v>0</v>
      </c>
      <c r="E66" s="1"/>
      <c r="F66" s="5">
        <f t="shared" si="40"/>
        <v>0</v>
      </c>
      <c r="G66" s="1"/>
      <c r="H66" s="1">
        <f>SUM(OSRRefH22_14x_0)</f>
        <v>0</v>
      </c>
      <c r="I66" s="1"/>
      <c r="J66" s="5">
        <f t="shared" si="41"/>
        <v>0</v>
      </c>
      <c r="K66" s="1"/>
      <c r="L66" s="1">
        <f t="shared" si="42"/>
        <v>0</v>
      </c>
      <c r="M66" s="1"/>
      <c r="N66" s="5">
        <f t="shared" si="43"/>
        <v>0</v>
      </c>
      <c r="O66" s="14"/>
      <c r="P66" s="1">
        <f>SUM(OSRRefP22_14x_0)</f>
        <v>1219</v>
      </c>
      <c r="Q66" s="1"/>
      <c r="R66" s="5">
        <f t="shared" si="44"/>
        <v>0</v>
      </c>
      <c r="S66" s="1"/>
      <c r="T66" s="1">
        <f>SUM(OSRRefT22_14x_0)</f>
        <v>1725</v>
      </c>
      <c r="U66" s="1"/>
      <c r="V66" s="5">
        <f t="shared" si="45"/>
        <v>0</v>
      </c>
      <c r="W66" s="1"/>
      <c r="X66" s="1">
        <f t="shared" si="46"/>
        <v>-506</v>
      </c>
      <c r="Y66" s="1"/>
      <c r="Z66" s="5">
        <f t="shared" si="47"/>
        <v>-0.29333333333333333</v>
      </c>
    </row>
    <row r="67" spans="1:26" s="24" customFormat="1" hidden="1" outlineLevel="2" x14ac:dyDescent="0.25">
      <c r="A67" s="28"/>
      <c r="B67" s="11" t="str">
        <f>CONCATENATE("          ", "6258", " - ", "MEMBERSHIP DUES")</f>
        <v xml:space="preserve">          6258 - MEMBERSHIP DUES</v>
      </c>
      <c r="C67" s="11"/>
      <c r="D67" s="7"/>
      <c r="E67" s="2"/>
      <c r="F67" s="6">
        <f t="shared" si="40"/>
        <v>0</v>
      </c>
      <c r="G67" s="2"/>
      <c r="H67" s="7"/>
      <c r="I67" s="2"/>
      <c r="J67" s="6">
        <f t="shared" si="41"/>
        <v>0</v>
      </c>
      <c r="K67" s="2"/>
      <c r="L67" s="7">
        <f t="shared" si="42"/>
        <v>0</v>
      </c>
      <c r="M67" s="2"/>
      <c r="N67" s="6">
        <f t="shared" si="43"/>
        <v>0</v>
      </c>
      <c r="O67" s="11"/>
      <c r="P67" s="7">
        <v>1219</v>
      </c>
      <c r="Q67" s="2"/>
      <c r="R67" s="6">
        <f t="shared" si="44"/>
        <v>0</v>
      </c>
      <c r="S67" s="2"/>
      <c r="T67" s="7">
        <v>1725</v>
      </c>
      <c r="U67" s="2"/>
      <c r="V67" s="6">
        <f t="shared" si="45"/>
        <v>0</v>
      </c>
      <c r="W67" s="2"/>
      <c r="X67" s="7">
        <f t="shared" si="46"/>
        <v>-506</v>
      </c>
      <c r="Y67" s="2"/>
      <c r="Z67" s="6">
        <f t="shared" si="47"/>
        <v>-0.29333333333333333</v>
      </c>
    </row>
    <row r="68" spans="1:26" s="27" customFormat="1" outlineLevel="1" collapsed="1" x14ac:dyDescent="0.25">
      <c r="A68" s="29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SUM(OSRRefD22_15x_0)</f>
        <v>291.31</v>
      </c>
      <c r="E68" s="1"/>
      <c r="F68" s="5">
        <f t="shared" si="40"/>
        <v>0</v>
      </c>
      <c r="G68" s="1"/>
      <c r="H68" s="1">
        <f>SUM(OSRRefH22_15x_0)</f>
        <v>-4127.33</v>
      </c>
      <c r="I68" s="1"/>
      <c r="J68" s="5">
        <f t="shared" si="41"/>
        <v>0</v>
      </c>
      <c r="K68" s="1"/>
      <c r="L68" s="1">
        <f t="shared" si="42"/>
        <v>4418.6400000000003</v>
      </c>
      <c r="M68" s="1"/>
      <c r="N68" s="5">
        <f t="shared" si="43"/>
        <v>-1.0705807386373274</v>
      </c>
      <c r="O68" s="14"/>
      <c r="P68" s="1">
        <f>SUM(OSRRefP22_15x_0)</f>
        <v>6578.18</v>
      </c>
      <c r="Q68" s="1"/>
      <c r="R68" s="5">
        <f t="shared" si="44"/>
        <v>0</v>
      </c>
      <c r="S68" s="1"/>
      <c r="T68" s="1">
        <f>SUM(OSRRefT22_15x_0)</f>
        <v>-2444.52</v>
      </c>
      <c r="U68" s="1"/>
      <c r="V68" s="5">
        <f t="shared" si="45"/>
        <v>0</v>
      </c>
      <c r="W68" s="1"/>
      <c r="X68" s="1">
        <f t="shared" si="46"/>
        <v>9022.7000000000007</v>
      </c>
      <c r="Y68" s="1"/>
      <c r="Z68" s="5">
        <f t="shared" si="47"/>
        <v>-3.6909904602948638</v>
      </c>
    </row>
    <row r="69" spans="1:26" s="24" customFormat="1" hidden="1" outlineLevel="2" x14ac:dyDescent="0.25">
      <c r="A69" s="28"/>
      <c r="B69" s="11" t="str">
        <f>CONCATENATE("          ", "6234", " - ", "EXPENDABLE SUPPLIES &amp; EQUIPMEN")</f>
        <v xml:space="preserve">          6234 - EXPENDABLE SUPPLIES &amp; EQUIPMEN</v>
      </c>
      <c r="C69" s="11"/>
      <c r="D69" s="7"/>
      <c r="E69" s="2"/>
      <c r="F69" s="6">
        <f t="shared" si="40"/>
        <v>0</v>
      </c>
      <c r="G69" s="2"/>
      <c r="H69" s="7"/>
      <c r="I69" s="2"/>
      <c r="J69" s="6">
        <f t="shared" si="41"/>
        <v>0</v>
      </c>
      <c r="K69" s="2"/>
      <c r="L69" s="7">
        <f t="shared" si="42"/>
        <v>0</v>
      </c>
      <c r="M69" s="2"/>
      <c r="N69" s="6">
        <f t="shared" si="43"/>
        <v>0</v>
      </c>
      <c r="O69" s="11"/>
      <c r="P69" s="7">
        <v>26.1</v>
      </c>
      <c r="Q69" s="2"/>
      <c r="R69" s="6">
        <f t="shared" si="44"/>
        <v>0</v>
      </c>
      <c r="S69" s="2"/>
      <c r="T69" s="7"/>
      <c r="U69" s="2"/>
      <c r="V69" s="6">
        <f t="shared" si="45"/>
        <v>0</v>
      </c>
      <c r="W69" s="2"/>
      <c r="X69" s="7">
        <f t="shared" si="46"/>
        <v>26.1</v>
      </c>
      <c r="Y69" s="2"/>
      <c r="Z69" s="6">
        <f t="shared" si="47"/>
        <v>0</v>
      </c>
    </row>
    <row r="70" spans="1:26" s="24" customFormat="1" hidden="1" outlineLevel="2" x14ac:dyDescent="0.25">
      <c r="A70" s="28"/>
      <c r="B70" s="11" t="str">
        <f>CONCATENATE("          ", "6235", " - ", "COVID-19 EXPENSES")</f>
        <v xml:space="preserve">          6235 - COVID-19 EXPENSES</v>
      </c>
      <c r="C70" s="11"/>
      <c r="D70" s="7"/>
      <c r="E70" s="2"/>
      <c r="F70" s="6">
        <f t="shared" si="40"/>
        <v>0</v>
      </c>
      <c r="G70" s="2"/>
      <c r="H70" s="7"/>
      <c r="I70" s="2"/>
      <c r="J70" s="6">
        <f t="shared" si="41"/>
        <v>0</v>
      </c>
      <c r="K70" s="2"/>
      <c r="L70" s="7">
        <f t="shared" si="42"/>
        <v>0</v>
      </c>
      <c r="M70" s="2"/>
      <c r="N70" s="6">
        <f t="shared" si="43"/>
        <v>0</v>
      </c>
      <c r="O70" s="11"/>
      <c r="P70" s="7">
        <v>2447.77</v>
      </c>
      <c r="Q70" s="2"/>
      <c r="R70" s="6">
        <f t="shared" si="44"/>
        <v>0</v>
      </c>
      <c r="S70" s="2"/>
      <c r="T70" s="7">
        <v>744.18</v>
      </c>
      <c r="U70" s="2"/>
      <c r="V70" s="6">
        <f t="shared" si="45"/>
        <v>0</v>
      </c>
      <c r="W70" s="2"/>
      <c r="X70" s="7">
        <f t="shared" si="46"/>
        <v>1703.5900000000001</v>
      </c>
      <c r="Y70" s="2"/>
      <c r="Z70" s="6">
        <f t="shared" si="47"/>
        <v>2.2892176623935074</v>
      </c>
    </row>
    <row r="71" spans="1:26" s="24" customFormat="1" hidden="1" outlineLevel="2" x14ac:dyDescent="0.25">
      <c r="A71" s="28"/>
      <c r="B71" s="11" t="str">
        <f>CONCATENATE("          ", "6241", " - ", "OFFICE EXPENSE")</f>
        <v xml:space="preserve">          6241 - OFFICE EXPENSE</v>
      </c>
      <c r="C71" s="11"/>
      <c r="D71" s="7">
        <v>116.31</v>
      </c>
      <c r="E71" s="2"/>
      <c r="F71" s="6">
        <f t="shared" si="40"/>
        <v>0</v>
      </c>
      <c r="G71" s="2"/>
      <c r="H71" s="7">
        <v>-4177.33</v>
      </c>
      <c r="I71" s="2"/>
      <c r="J71" s="6">
        <f t="shared" si="41"/>
        <v>0</v>
      </c>
      <c r="K71" s="2"/>
      <c r="L71" s="7">
        <f t="shared" si="42"/>
        <v>4293.6400000000003</v>
      </c>
      <c r="M71" s="2"/>
      <c r="N71" s="6">
        <f t="shared" si="43"/>
        <v>-1.0278431438263198</v>
      </c>
      <c r="O71" s="11"/>
      <c r="P71" s="7">
        <v>2517.62</v>
      </c>
      <c r="Q71" s="2"/>
      <c r="R71" s="6">
        <f t="shared" si="44"/>
        <v>0</v>
      </c>
      <c r="S71" s="2"/>
      <c r="T71" s="7">
        <v>-3386.41</v>
      </c>
      <c r="U71" s="2"/>
      <c r="V71" s="6">
        <f t="shared" si="45"/>
        <v>0</v>
      </c>
      <c r="W71" s="2"/>
      <c r="X71" s="7">
        <f t="shared" si="46"/>
        <v>5904.03</v>
      </c>
      <c r="Y71" s="2"/>
      <c r="Z71" s="6">
        <f t="shared" si="47"/>
        <v>-1.7434480762813718</v>
      </c>
    </row>
    <row r="72" spans="1:26" s="24" customFormat="1" hidden="1" outlineLevel="2" x14ac:dyDescent="0.25">
      <c r="A72" s="28"/>
      <c r="B72" s="11" t="str">
        <f>CONCATENATE("          ", "6244", " - ", "SAFETY SUPPLY EXPENSE")</f>
        <v xml:space="preserve">          6244 - SAFETY SUPPLY EXPENSE</v>
      </c>
      <c r="C72" s="11"/>
      <c r="D72" s="7">
        <v>175</v>
      </c>
      <c r="E72" s="2"/>
      <c r="F72" s="6">
        <f t="shared" si="40"/>
        <v>0</v>
      </c>
      <c r="G72" s="2"/>
      <c r="H72" s="7">
        <v>50</v>
      </c>
      <c r="I72" s="2"/>
      <c r="J72" s="6">
        <f t="shared" si="41"/>
        <v>0</v>
      </c>
      <c r="K72" s="2"/>
      <c r="L72" s="7">
        <f t="shared" si="42"/>
        <v>125</v>
      </c>
      <c r="M72" s="2"/>
      <c r="N72" s="6">
        <f t="shared" si="43"/>
        <v>2.5</v>
      </c>
      <c r="O72" s="11"/>
      <c r="P72" s="7">
        <v>375</v>
      </c>
      <c r="Q72" s="2"/>
      <c r="R72" s="6">
        <f t="shared" si="44"/>
        <v>0</v>
      </c>
      <c r="S72" s="2"/>
      <c r="T72" s="7">
        <v>197.71</v>
      </c>
      <c r="U72" s="2"/>
      <c r="V72" s="6">
        <f t="shared" si="45"/>
        <v>0</v>
      </c>
      <c r="W72" s="2"/>
      <c r="X72" s="7">
        <f t="shared" si="46"/>
        <v>177.29</v>
      </c>
      <c r="Y72" s="2"/>
      <c r="Z72" s="6">
        <f t="shared" si="47"/>
        <v>0.89671741439482067</v>
      </c>
    </row>
    <row r="73" spans="1:26" s="24" customFormat="1" hidden="1" outlineLevel="2" x14ac:dyDescent="0.25">
      <c r="A73" s="28"/>
      <c r="B73" s="11" t="str">
        <f>CONCATENATE("          ", "6248", " - ", "UNIFORMS")</f>
        <v xml:space="preserve">          6248 - UNIFORMS</v>
      </c>
      <c r="C73" s="11"/>
      <c r="D73" s="7"/>
      <c r="E73" s="2"/>
      <c r="F73" s="6">
        <f t="shared" si="40"/>
        <v>0</v>
      </c>
      <c r="G73" s="2"/>
      <c r="H73" s="7"/>
      <c r="I73" s="2"/>
      <c r="J73" s="6">
        <f t="shared" si="41"/>
        <v>0</v>
      </c>
      <c r="K73" s="2"/>
      <c r="L73" s="7">
        <f t="shared" si="42"/>
        <v>0</v>
      </c>
      <c r="M73" s="2"/>
      <c r="N73" s="6">
        <f t="shared" si="43"/>
        <v>0</v>
      </c>
      <c r="O73" s="11"/>
      <c r="P73" s="7">
        <v>1211.69</v>
      </c>
      <c r="Q73" s="2"/>
      <c r="R73" s="6">
        <f t="shared" si="44"/>
        <v>0</v>
      </c>
      <c r="S73" s="2"/>
      <c r="T73" s="7"/>
      <c r="U73" s="2"/>
      <c r="V73" s="6">
        <f t="shared" si="45"/>
        <v>0</v>
      </c>
      <c r="W73" s="2"/>
      <c r="X73" s="7">
        <f t="shared" si="46"/>
        <v>1211.69</v>
      </c>
      <c r="Y73" s="2"/>
      <c r="Z73" s="6">
        <f t="shared" si="47"/>
        <v>0</v>
      </c>
    </row>
    <row r="74" spans="1:26" s="27" customFormat="1" outlineLevel="1" collapsed="1" x14ac:dyDescent="0.25">
      <c r="A74" s="29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SUM(OSRRefD22_16x_0)</f>
        <v>1996.73</v>
      </c>
      <c r="E74" s="1"/>
      <c r="F74" s="5">
        <f t="shared" ref="F74:F76" si="48">IF(D$12=0,0,D74/D$12)</f>
        <v>0</v>
      </c>
      <c r="G74" s="1"/>
      <c r="H74" s="1">
        <f>SUM(OSRRefH22_16x_0)</f>
        <v>2109.0099999999998</v>
      </c>
      <c r="I74" s="1"/>
      <c r="J74" s="5">
        <f t="shared" ref="J74:J76" si="49">IF(H$12=0,0,H74/H$12)</f>
        <v>0</v>
      </c>
      <c r="K74" s="1"/>
      <c r="L74" s="1">
        <f t="shared" ref="L74:L76" si="50">+D74-H74</f>
        <v>-112.27999999999975</v>
      </c>
      <c r="M74" s="1"/>
      <c r="N74" s="5">
        <f t="shared" ref="N74:N76" si="51">IF(H74=0,0,L74/H74)</f>
        <v>-5.3238249225940018E-2</v>
      </c>
      <c r="O74" s="14"/>
      <c r="P74" s="1">
        <f>SUM(OSRRefP22_16x_0)</f>
        <v>6514.3</v>
      </c>
      <c r="Q74" s="1"/>
      <c r="R74" s="5">
        <f t="shared" ref="R74:R76" si="52">IF(P$12=0,0,P74/P$12)</f>
        <v>0</v>
      </c>
      <c r="S74" s="1"/>
      <c r="T74" s="1">
        <f>SUM(OSRRefT22_16x_0)</f>
        <v>6280.1</v>
      </c>
      <c r="U74" s="1"/>
      <c r="V74" s="5">
        <f t="shared" ref="V74:V76" si="53">IF(T$12=0,0,T74/T$12)</f>
        <v>0</v>
      </c>
      <c r="W74" s="1"/>
      <c r="X74" s="1">
        <f t="shared" ref="X74:X76" si="54">+P74-T74</f>
        <v>234.19999999999982</v>
      </c>
      <c r="Y74" s="1"/>
      <c r="Z74" s="5">
        <f t="shared" ref="Z74:Z76" si="55">IF(T74=0,0,X74/T74)</f>
        <v>3.7292399802550884E-2</v>
      </c>
    </row>
    <row r="75" spans="1:26" s="24" customFormat="1" hidden="1" outlineLevel="2" x14ac:dyDescent="0.25">
      <c r="A75" s="28"/>
      <c r="B75" s="11" t="str">
        <f>CONCATENATE("          ", "6303", " - ", "DATA PHONE LINES")</f>
        <v xml:space="preserve">          6303 - DATA PHONE LINES</v>
      </c>
      <c r="C75" s="11"/>
      <c r="D75" s="7"/>
      <c r="E75" s="2"/>
      <c r="F75" s="6">
        <f t="shared" si="48"/>
        <v>0</v>
      </c>
      <c r="G75" s="2"/>
      <c r="H75" s="7">
        <v>78.989999999999995</v>
      </c>
      <c r="I75" s="2"/>
      <c r="J75" s="6">
        <f t="shared" si="49"/>
        <v>0</v>
      </c>
      <c r="K75" s="2"/>
      <c r="L75" s="7">
        <f t="shared" si="50"/>
        <v>-78.989999999999995</v>
      </c>
      <c r="M75" s="2"/>
      <c r="N75" s="6">
        <f t="shared" si="51"/>
        <v>-1</v>
      </c>
      <c r="O75" s="11"/>
      <c r="P75" s="7">
        <v>323.95999999999998</v>
      </c>
      <c r="Q75" s="2"/>
      <c r="R75" s="6">
        <f t="shared" si="52"/>
        <v>0</v>
      </c>
      <c r="S75" s="2"/>
      <c r="T75" s="7">
        <v>236.97</v>
      </c>
      <c r="U75" s="2"/>
      <c r="V75" s="6">
        <f t="shared" si="53"/>
        <v>0</v>
      </c>
      <c r="W75" s="2"/>
      <c r="X75" s="7">
        <f t="shared" si="54"/>
        <v>86.989999999999981</v>
      </c>
      <c r="Y75" s="2"/>
      <c r="Z75" s="6">
        <f t="shared" si="55"/>
        <v>0.36709288095539511</v>
      </c>
    </row>
    <row r="76" spans="1:26" s="24" customFormat="1" hidden="1" outlineLevel="2" x14ac:dyDescent="0.25">
      <c r="A76" s="28"/>
      <c r="B76" s="11" t="str">
        <f>CONCATENATE("          ", "6309", " - ", "TELEPHONE")</f>
        <v xml:space="preserve">          6309 - TELEPHONE</v>
      </c>
      <c r="C76" s="11"/>
      <c r="D76" s="7">
        <v>1996.73</v>
      </c>
      <c r="E76" s="2"/>
      <c r="F76" s="6">
        <f t="shared" si="48"/>
        <v>0</v>
      </c>
      <c r="G76" s="2"/>
      <c r="H76" s="7">
        <v>2030.02</v>
      </c>
      <c r="I76" s="2"/>
      <c r="J76" s="6">
        <f t="shared" si="49"/>
        <v>0</v>
      </c>
      <c r="K76" s="2"/>
      <c r="L76" s="7">
        <f t="shared" si="50"/>
        <v>-33.289999999999964</v>
      </c>
      <c r="M76" s="2"/>
      <c r="N76" s="6">
        <f t="shared" si="51"/>
        <v>-1.6398853213268817E-2</v>
      </c>
      <c r="O76" s="11"/>
      <c r="P76" s="7">
        <v>6190.34</v>
      </c>
      <c r="Q76" s="2"/>
      <c r="R76" s="6">
        <f t="shared" si="52"/>
        <v>0</v>
      </c>
      <c r="S76" s="2"/>
      <c r="T76" s="7">
        <v>6043.13</v>
      </c>
      <c r="U76" s="2"/>
      <c r="V76" s="6">
        <f t="shared" si="53"/>
        <v>0</v>
      </c>
      <c r="W76" s="2"/>
      <c r="X76" s="7">
        <f t="shared" si="54"/>
        <v>147.21000000000004</v>
      </c>
      <c r="Y76" s="2"/>
      <c r="Z76" s="6">
        <f t="shared" si="55"/>
        <v>2.4359892969371837E-2</v>
      </c>
    </row>
    <row r="77" spans="1:26" s="27" customFormat="1" outlineLevel="1" collapsed="1" x14ac:dyDescent="0.25">
      <c r="A77" s="29"/>
      <c r="B77" s="14" t="str">
        <f>CONCATENATE("     ","Training                                          ")</f>
        <v xml:space="preserve">     Training                                          </v>
      </c>
      <c r="C77" s="14"/>
      <c r="D77" s="1">
        <f>SUM(OSRRefD22_17x_0)</f>
        <v>0</v>
      </c>
      <c r="E77" s="1"/>
      <c r="F77" s="5">
        <f t="shared" ref="F77:F80" si="56">IF(D$12=0,0,D77/D$12)</f>
        <v>0</v>
      </c>
      <c r="G77" s="1"/>
      <c r="H77" s="1">
        <f>SUM(OSRRefH22_17x_0)</f>
        <v>102</v>
      </c>
      <c r="I77" s="1"/>
      <c r="J77" s="5">
        <f t="shared" ref="J77:J80" si="57">IF(H$12=0,0,H77/H$12)</f>
        <v>0</v>
      </c>
      <c r="K77" s="1"/>
      <c r="L77" s="1">
        <f t="shared" ref="L77:L80" si="58">+D77-H77</f>
        <v>-102</v>
      </c>
      <c r="M77" s="1"/>
      <c r="N77" s="5">
        <f t="shared" ref="N77:N80" si="59">IF(H77=0,0,L77/H77)</f>
        <v>-1</v>
      </c>
      <c r="O77" s="14"/>
      <c r="P77" s="1">
        <f>SUM(OSRRefP22_17x_0)</f>
        <v>595</v>
      </c>
      <c r="Q77" s="1"/>
      <c r="R77" s="5">
        <f t="shared" ref="R77:R80" si="60">IF(P$12=0,0,P77/P$12)</f>
        <v>0</v>
      </c>
      <c r="S77" s="1"/>
      <c r="T77" s="1">
        <f>SUM(OSRRefT22_17x_0)</f>
        <v>102</v>
      </c>
      <c r="U77" s="1"/>
      <c r="V77" s="5">
        <f t="shared" ref="V77:V80" si="61">IF(T$12=0,0,T77/T$12)</f>
        <v>0</v>
      </c>
      <c r="W77" s="1"/>
      <c r="X77" s="1">
        <f t="shared" ref="X77:X80" si="62">+P77-T77</f>
        <v>493</v>
      </c>
      <c r="Y77" s="1"/>
      <c r="Z77" s="5">
        <f t="shared" ref="Z77:Z80" si="63">IF(T77=0,0,X77/T77)</f>
        <v>4.833333333333333</v>
      </c>
    </row>
    <row r="78" spans="1:26" s="24" customFormat="1" hidden="1" outlineLevel="2" x14ac:dyDescent="0.25">
      <c r="A78" s="28"/>
      <c r="B78" s="11" t="str">
        <f>CONCATENATE("          ", "6376", " - ", "TRAINING")</f>
        <v xml:space="preserve">          6376 - TRAINING</v>
      </c>
      <c r="C78" s="11"/>
      <c r="D78" s="7"/>
      <c r="E78" s="2"/>
      <c r="F78" s="6">
        <f t="shared" si="56"/>
        <v>0</v>
      </c>
      <c r="G78" s="2"/>
      <c r="H78" s="7">
        <v>102</v>
      </c>
      <c r="I78" s="2"/>
      <c r="J78" s="6">
        <f t="shared" si="57"/>
        <v>0</v>
      </c>
      <c r="K78" s="2"/>
      <c r="L78" s="7">
        <f t="shared" si="58"/>
        <v>-102</v>
      </c>
      <c r="M78" s="2"/>
      <c r="N78" s="6">
        <f t="shared" si="59"/>
        <v>-1</v>
      </c>
      <c r="O78" s="11"/>
      <c r="P78" s="7">
        <v>595</v>
      </c>
      <c r="Q78" s="2"/>
      <c r="R78" s="6">
        <f t="shared" si="60"/>
        <v>0</v>
      </c>
      <c r="S78" s="2"/>
      <c r="T78" s="7">
        <v>102</v>
      </c>
      <c r="U78" s="2"/>
      <c r="V78" s="6">
        <f t="shared" si="61"/>
        <v>0</v>
      </c>
      <c r="W78" s="2"/>
      <c r="X78" s="7">
        <f t="shared" si="62"/>
        <v>493</v>
      </c>
      <c r="Y78" s="2"/>
      <c r="Z78" s="6">
        <f t="shared" si="63"/>
        <v>4.833333333333333</v>
      </c>
    </row>
    <row r="79" spans="1:26" s="27" customFormat="1" outlineLevel="1" collapsed="1" x14ac:dyDescent="0.25">
      <c r="A79" s="29"/>
      <c r="B79" s="14" t="str">
        <f>CONCATENATE("     ","Travel                                            ")</f>
        <v xml:space="preserve">     Travel                                            </v>
      </c>
      <c r="C79" s="14"/>
      <c r="D79" s="1">
        <f>SUM(OSRRefD22_18x_0)</f>
        <v>13.3</v>
      </c>
      <c r="E79" s="1"/>
      <c r="F79" s="5">
        <f t="shared" si="56"/>
        <v>0</v>
      </c>
      <c r="G79" s="1"/>
      <c r="H79" s="1">
        <f>SUM(OSRRefH22_18x_0)</f>
        <v>0</v>
      </c>
      <c r="I79" s="1"/>
      <c r="J79" s="5">
        <f t="shared" si="57"/>
        <v>0</v>
      </c>
      <c r="K79" s="1"/>
      <c r="L79" s="1">
        <f t="shared" si="58"/>
        <v>13.3</v>
      </c>
      <c r="M79" s="1"/>
      <c r="N79" s="5">
        <f t="shared" si="59"/>
        <v>0</v>
      </c>
      <c r="O79" s="14"/>
      <c r="P79" s="1">
        <f>SUM(OSRRefP22_18x_0)</f>
        <v>30.4</v>
      </c>
      <c r="Q79" s="1"/>
      <c r="R79" s="5">
        <f t="shared" si="60"/>
        <v>0</v>
      </c>
      <c r="S79" s="1"/>
      <c r="T79" s="1">
        <f>SUM(OSRRefT22_18x_0)</f>
        <v>17.55</v>
      </c>
      <c r="U79" s="1"/>
      <c r="V79" s="5">
        <f t="shared" si="61"/>
        <v>0</v>
      </c>
      <c r="W79" s="1"/>
      <c r="X79" s="1">
        <f t="shared" si="62"/>
        <v>12.849999999999998</v>
      </c>
      <c r="Y79" s="1"/>
      <c r="Z79" s="5">
        <f t="shared" si="63"/>
        <v>0.73219373219373207</v>
      </c>
    </row>
    <row r="80" spans="1:26" s="24" customFormat="1" hidden="1" outlineLevel="2" x14ac:dyDescent="0.25">
      <c r="A80" s="28"/>
      <c r="B80" s="11" t="str">
        <f>CONCATENATE("          ", "6294", " - ", "TRAVEL OPERATIONAL")</f>
        <v xml:space="preserve">          6294 - TRAVEL OPERATIONAL</v>
      </c>
      <c r="C80" s="11"/>
      <c r="D80" s="7">
        <v>13.3</v>
      </c>
      <c r="E80" s="2"/>
      <c r="F80" s="6">
        <f t="shared" si="56"/>
        <v>0</v>
      </c>
      <c r="G80" s="2"/>
      <c r="H80" s="7"/>
      <c r="I80" s="2"/>
      <c r="J80" s="6">
        <f t="shared" si="57"/>
        <v>0</v>
      </c>
      <c r="K80" s="2"/>
      <c r="L80" s="7">
        <f t="shared" si="58"/>
        <v>13.3</v>
      </c>
      <c r="M80" s="2"/>
      <c r="N80" s="6">
        <f t="shared" si="59"/>
        <v>0</v>
      </c>
      <c r="O80" s="11"/>
      <c r="P80" s="7">
        <v>30.4</v>
      </c>
      <c r="Q80" s="2"/>
      <c r="R80" s="6">
        <f t="shared" si="60"/>
        <v>0</v>
      </c>
      <c r="S80" s="2"/>
      <c r="T80" s="7">
        <v>17.55</v>
      </c>
      <c r="U80" s="2"/>
      <c r="V80" s="6">
        <f t="shared" si="61"/>
        <v>0</v>
      </c>
      <c r="W80" s="2"/>
      <c r="X80" s="7">
        <f t="shared" si="62"/>
        <v>12.849999999999998</v>
      </c>
      <c r="Y80" s="2"/>
      <c r="Z80" s="6">
        <f t="shared" si="63"/>
        <v>0.73219373219373207</v>
      </c>
    </row>
    <row r="81" spans="1:26" s="54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6" t="s">
        <v>292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5" t="s">
        <v>276</v>
      </c>
      <c r="C84" s="25"/>
      <c r="D84" s="21">
        <f>+D16-D18+D82</f>
        <v>-214039.08999999994</v>
      </c>
      <c r="E84" s="13"/>
      <c r="F84" s="22">
        <f>IF(D$12=0,0,D84/D$12)</f>
        <v>0</v>
      </c>
      <c r="G84" s="13"/>
      <c r="H84" s="21">
        <f>+H16-H18+H82</f>
        <v>-210081.48</v>
      </c>
      <c r="I84" s="13"/>
      <c r="J84" s="22">
        <f>IF(H$12=0,0,H84/H$12)</f>
        <v>0</v>
      </c>
      <c r="K84" s="16"/>
      <c r="L84" s="21">
        <f>+D84-H84</f>
        <v>-3957.6099999999278</v>
      </c>
      <c r="M84" s="16"/>
      <c r="N84" s="22">
        <f>IF(H84=0,0,L84/H84)</f>
        <v>1.8838452585158517E-2</v>
      </c>
      <c r="O84" s="26"/>
      <c r="P84" s="21">
        <f>+P16-P18+P82</f>
        <v>-661244.69999999995</v>
      </c>
      <c r="Q84" s="13"/>
      <c r="R84" s="22">
        <f>IF(P$12=0,0,P84/P$12)</f>
        <v>0</v>
      </c>
      <c r="S84" s="13"/>
      <c r="T84" s="21">
        <f>+T16-T18+T82</f>
        <v>-663897.74</v>
      </c>
      <c r="U84" s="13"/>
      <c r="V84" s="22">
        <f>IF(T$12=0,0,T84/T$12)</f>
        <v>0</v>
      </c>
      <c r="W84" s="16"/>
      <c r="X84" s="21">
        <f>+P84-T84</f>
        <v>2653.0400000000373</v>
      </c>
      <c r="Y84" s="16"/>
      <c r="Z84" s="22">
        <f>IF(T84=0,0,X84/T84)</f>
        <v>-3.9961576010185502E-3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127</v>
      </c>
      <c r="C86" s="10"/>
      <c r="D86" s="4"/>
      <c r="E86" s="4"/>
      <c r="F86" s="12">
        <f>IF(D$12=0,0,D86/D$12)</f>
        <v>0</v>
      </c>
      <c r="G86" s="4"/>
      <c r="H86" s="4"/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/>
      <c r="Q86" s="4"/>
      <c r="R86" s="12">
        <f>IF(P$12=0,0,P86/P$12)</f>
        <v>0</v>
      </c>
      <c r="S86" s="4"/>
      <c r="T86" s="4"/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5" t="s">
        <v>125</v>
      </c>
      <c r="C88" s="25"/>
      <c r="D88" s="33">
        <f>+D84-D86</f>
        <v>-214039.08999999994</v>
      </c>
      <c r="E88" s="13"/>
      <c r="F88" s="35">
        <f>IF(D$12=0,0,D88/D$12)</f>
        <v>0</v>
      </c>
      <c r="G88" s="13"/>
      <c r="H88" s="33">
        <f>+H84-H86</f>
        <v>-210081.48</v>
      </c>
      <c r="I88" s="13"/>
      <c r="J88" s="35">
        <f>IF(H$12=0,0,H88/H$12)</f>
        <v>0</v>
      </c>
      <c r="K88" s="16"/>
      <c r="L88" s="33">
        <f>D88-H88</f>
        <v>-3957.6099999999278</v>
      </c>
      <c r="M88" s="16"/>
      <c r="N88" s="35">
        <f>IF(H88=0,0,L88/H88)</f>
        <v>1.8838452585158517E-2</v>
      </c>
      <c r="O88" s="26"/>
      <c r="P88" s="33">
        <f>+P84-P86</f>
        <v>-661244.69999999995</v>
      </c>
      <c r="Q88" s="13"/>
      <c r="R88" s="35">
        <f>IF(P$12=0,0,P88/P$12)</f>
        <v>0</v>
      </c>
      <c r="S88" s="13"/>
      <c r="T88" s="33">
        <f>+T84-T86</f>
        <v>-663897.74</v>
      </c>
      <c r="U88" s="13"/>
      <c r="V88" s="35">
        <f>IF(T$12=0,0,T88/T$12)</f>
        <v>0</v>
      </c>
      <c r="W88" s="16"/>
      <c r="X88" s="33">
        <f>P88-T88</f>
        <v>2653.0400000000373</v>
      </c>
      <c r="Y88" s="16"/>
      <c r="Z88" s="35">
        <f>IF(T88=0,0,X88/T88)</f>
        <v>-3.9961576010185502E-3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5" t="s">
        <v>293</v>
      </c>
      <c r="C91" s="25"/>
      <c r="D91" s="31">
        <f>SUM(D88:D90)</f>
        <v>-214039.08999999994</v>
      </c>
      <c r="E91" s="13"/>
      <c r="F91" s="32">
        <f>IF(D$12=0,0,D91/D$12)</f>
        <v>0</v>
      </c>
      <c r="G91" s="13"/>
      <c r="H91" s="31">
        <f>SUM(H88:H90)</f>
        <v>-210081.48</v>
      </c>
      <c r="I91" s="13"/>
      <c r="J91" s="32">
        <f>IF(H$12=0,0,H91/H$12)</f>
        <v>0</v>
      </c>
      <c r="K91" s="16"/>
      <c r="L91" s="31">
        <f>+D91-H91</f>
        <v>-3957.6099999999278</v>
      </c>
      <c r="M91" s="16"/>
      <c r="N91" s="32">
        <f>IF(H91=0,0,L91/H91)</f>
        <v>1.8838452585158517E-2</v>
      </c>
      <c r="O91" s="26"/>
      <c r="P91" s="31">
        <f>SUM(P88:P90)</f>
        <v>-661244.69999999995</v>
      </c>
      <c r="Q91" s="13"/>
      <c r="R91" s="32">
        <f>IF(P$12=0,0,P91/P$12)</f>
        <v>0</v>
      </c>
      <c r="S91" s="13"/>
      <c r="T91" s="31">
        <f>SUM(T88:T90)</f>
        <v>-663897.74</v>
      </c>
      <c r="U91" s="13"/>
      <c r="V91" s="32">
        <f>IF(T$12=0,0,T91/T$12)</f>
        <v>0</v>
      </c>
      <c r="W91" s="16"/>
      <c r="X91" s="31">
        <f>+P91-T91</f>
        <v>2653.0400000000373</v>
      </c>
      <c r="Y91" s="16"/>
      <c r="Z91" s="32">
        <f>IF(T91=0,0,X91/T91)</f>
        <v>-3.9961576010185502E-3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8">
        <v>44481.985598344909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3" t="s">
        <v>56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2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","200", " - ", "Corporate Expense")</f>
        <v>Department 200 - Corporate Expense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29742.210000000003</v>
      </c>
      <c r="E18" s="20"/>
      <c r="F18" s="30">
        <f t="shared" ref="F18:F26" si="0">IF(D$12=0,0,D18/D$12)</f>
        <v>0</v>
      </c>
      <c r="G18" s="20"/>
      <c r="H18" s="20">
        <f>SUM(OSRRefH22x_0)</f>
        <v>31927.71</v>
      </c>
      <c r="I18" s="20"/>
      <c r="J18" s="30">
        <f t="shared" ref="J18:J26" si="1">IF(H$12=0,0,H18/H$12)</f>
        <v>0</v>
      </c>
      <c r="K18" s="4"/>
      <c r="L18" s="20">
        <f t="shared" ref="L18:L26" si="2">+D18-H18</f>
        <v>-2185.4999999999964</v>
      </c>
      <c r="M18" s="4"/>
      <c r="N18" s="30">
        <f t="shared" ref="N18:N26" si="3">IF(H18=0,0,L18/H18)</f>
        <v>-6.8451511242115279E-2</v>
      </c>
      <c r="O18" s="10"/>
      <c r="P18" s="20">
        <f>SUM(OSRRefP22x_0)</f>
        <v>98446.7</v>
      </c>
      <c r="Q18" s="20"/>
      <c r="R18" s="30">
        <f t="shared" ref="R18:R26" si="4">IF(P$12=0,0,P18/P$12)</f>
        <v>0</v>
      </c>
      <c r="S18" s="20"/>
      <c r="T18" s="20">
        <f>SUM(OSRRefT22x_0)</f>
        <v>110257.57999999999</v>
      </c>
      <c r="U18" s="20"/>
      <c r="V18" s="30">
        <f t="shared" ref="V18:V26" si="5">IF(T$12=0,0,T18/T$12)</f>
        <v>0</v>
      </c>
      <c r="W18" s="4"/>
      <c r="X18" s="20">
        <f t="shared" ref="X18:X26" si="6">+P18-T18</f>
        <v>-11810.87999999999</v>
      </c>
      <c r="Y18" s="4"/>
      <c r="Z18" s="30">
        <f t="shared" ref="Z18:Z26" si="7">IF(T18=0,0,X18/T18)</f>
        <v>-0.10712079840678519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28310.06</v>
      </c>
      <c r="E19" s="1"/>
      <c r="F19" s="5">
        <f t="shared" si="0"/>
        <v>0</v>
      </c>
      <c r="G19" s="1"/>
      <c r="H19" s="1">
        <f>SUM(OSRRefH22_0x_0)</f>
        <v>31087.67</v>
      </c>
      <c r="I19" s="1"/>
      <c r="J19" s="5">
        <f t="shared" si="1"/>
        <v>0</v>
      </c>
      <c r="K19" s="1"/>
      <c r="L19" s="1">
        <f t="shared" si="2"/>
        <v>-2777.6099999999969</v>
      </c>
      <c r="M19" s="1"/>
      <c r="N19" s="5">
        <f t="shared" si="3"/>
        <v>-8.9347641685594226E-2</v>
      </c>
      <c r="O19" s="14"/>
      <c r="P19" s="1">
        <f>SUM(OSRRefP22_0x_0)</f>
        <v>82421.179999999993</v>
      </c>
      <c r="Q19" s="1"/>
      <c r="R19" s="5">
        <f t="shared" si="4"/>
        <v>0</v>
      </c>
      <c r="S19" s="1"/>
      <c r="T19" s="1">
        <f>SUM(OSRRefT22_0x_0)</f>
        <v>91763.01</v>
      </c>
      <c r="U19" s="1"/>
      <c r="V19" s="5">
        <f t="shared" si="5"/>
        <v>0</v>
      </c>
      <c r="W19" s="1"/>
      <c r="X19" s="1">
        <f t="shared" si="6"/>
        <v>-9341.8300000000017</v>
      </c>
      <c r="Y19" s="1"/>
      <c r="Z19" s="5">
        <f t="shared" si="7"/>
        <v>-0.10180387500366435</v>
      </c>
    </row>
    <row r="20" spans="1:26" s="24" customFormat="1" hidden="1" outlineLevel="2" x14ac:dyDescent="0.25">
      <c r="A20" s="28"/>
      <c r="B20" s="11" t="str">
        <f>CONCATENATE("          ", "6120", " - ", "RETIREES HEALTH INSURANCE")</f>
        <v xml:space="preserve">          6120 - RETIREES HEALTH INSURANCE</v>
      </c>
      <c r="C20" s="11"/>
      <c r="D20" s="7">
        <v>28310.06</v>
      </c>
      <c r="E20" s="2"/>
      <c r="F20" s="6">
        <f t="shared" si="0"/>
        <v>0</v>
      </c>
      <c r="G20" s="2"/>
      <c r="H20" s="7">
        <v>31087.67</v>
      </c>
      <c r="I20" s="2"/>
      <c r="J20" s="6">
        <f t="shared" si="1"/>
        <v>0</v>
      </c>
      <c r="K20" s="2"/>
      <c r="L20" s="7">
        <f t="shared" si="2"/>
        <v>-2777.6099999999969</v>
      </c>
      <c r="M20" s="2"/>
      <c r="N20" s="6">
        <f t="shared" si="3"/>
        <v>-8.9347641685594226E-2</v>
      </c>
      <c r="O20" s="11"/>
      <c r="P20" s="7">
        <v>82421.179999999993</v>
      </c>
      <c r="Q20" s="2"/>
      <c r="R20" s="6">
        <f t="shared" si="4"/>
        <v>0</v>
      </c>
      <c r="S20" s="2"/>
      <c r="T20" s="7">
        <v>91763.01</v>
      </c>
      <c r="U20" s="2"/>
      <c r="V20" s="6">
        <f t="shared" si="5"/>
        <v>0</v>
      </c>
      <c r="W20" s="2"/>
      <c r="X20" s="7">
        <f t="shared" si="6"/>
        <v>-9341.8300000000017</v>
      </c>
      <c r="Y20" s="2"/>
      <c r="Z20" s="6">
        <f t="shared" si="7"/>
        <v>-0.10180387500366435</v>
      </c>
    </row>
    <row r="21" spans="1:26" s="27" customFormat="1" outlineLevel="1" collapsed="1" x14ac:dyDescent="0.25">
      <c r="A21" s="29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7</v>
      </c>
      <c r="E21" s="1"/>
      <c r="F21" s="5">
        <f t="shared" si="0"/>
        <v>0</v>
      </c>
      <c r="G21" s="1"/>
      <c r="H21" s="1">
        <f>SUM(OSRRefH22_1x_0)</f>
        <v>7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2363.86</v>
      </c>
      <c r="Q21" s="1"/>
      <c r="R21" s="5">
        <f t="shared" si="4"/>
        <v>0</v>
      </c>
      <c r="S21" s="1"/>
      <c r="T21" s="1">
        <f>SUM(OSRRefT22_1x_0)</f>
        <v>937.98</v>
      </c>
      <c r="U21" s="1"/>
      <c r="V21" s="5">
        <f t="shared" si="5"/>
        <v>0</v>
      </c>
      <c r="W21" s="1"/>
      <c r="X21" s="1">
        <f t="shared" si="6"/>
        <v>1425.88</v>
      </c>
      <c r="Y21" s="1"/>
      <c r="Z21" s="5">
        <f t="shared" si="7"/>
        <v>1.5201603445702467</v>
      </c>
    </row>
    <row r="22" spans="1:26" s="24" customFormat="1" hidden="1" outlineLevel="2" x14ac:dyDescent="0.25">
      <c r="A22" s="28"/>
      <c r="B22" s="11" t="str">
        <f>CONCATENATE("          ", "6381", " - ", "BANK/CREDIT CARD FEES")</f>
        <v xml:space="preserve">          6381 - BANK/CREDIT CARD FEES</v>
      </c>
      <c r="C22" s="11"/>
      <c r="D22" s="7">
        <v>7</v>
      </c>
      <c r="E22" s="2"/>
      <c r="F22" s="6">
        <f t="shared" si="0"/>
        <v>0</v>
      </c>
      <c r="G22" s="2"/>
      <c r="H22" s="7">
        <v>7</v>
      </c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2363.86</v>
      </c>
      <c r="Q22" s="2"/>
      <c r="R22" s="6">
        <f t="shared" si="4"/>
        <v>0</v>
      </c>
      <c r="S22" s="2"/>
      <c r="T22" s="7">
        <v>937.98</v>
      </c>
      <c r="U22" s="2"/>
      <c r="V22" s="6">
        <f t="shared" si="5"/>
        <v>0</v>
      </c>
      <c r="W22" s="2"/>
      <c r="X22" s="7">
        <f t="shared" si="6"/>
        <v>1425.88</v>
      </c>
      <c r="Y22" s="2"/>
      <c r="Z22" s="6">
        <f t="shared" si="7"/>
        <v>1.5201603445702467</v>
      </c>
    </row>
    <row r="23" spans="1:26" s="27" customFormat="1" outlineLevel="1" collapsed="1" x14ac:dyDescent="0.25">
      <c r="A23" s="29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1425.15</v>
      </c>
      <c r="E23" s="1"/>
      <c r="F23" s="5">
        <f t="shared" si="0"/>
        <v>0</v>
      </c>
      <c r="G23" s="1"/>
      <c r="H23" s="1">
        <f>SUM(OSRRefH22_2x_0)</f>
        <v>833.04</v>
      </c>
      <c r="I23" s="1"/>
      <c r="J23" s="5">
        <f t="shared" si="1"/>
        <v>0</v>
      </c>
      <c r="K23" s="1"/>
      <c r="L23" s="1">
        <f t="shared" si="2"/>
        <v>592.11000000000013</v>
      </c>
      <c r="M23" s="1"/>
      <c r="N23" s="5">
        <f t="shared" si="3"/>
        <v>0.71078219533275733</v>
      </c>
      <c r="O23" s="14"/>
      <c r="P23" s="1">
        <f>SUM(OSRRefP22_2x_0)</f>
        <v>3323.91</v>
      </c>
      <c r="Q23" s="1"/>
      <c r="R23" s="5">
        <f t="shared" si="4"/>
        <v>0</v>
      </c>
      <c r="S23" s="1"/>
      <c r="T23" s="1">
        <f>SUM(OSRRefT22_2x_0)</f>
        <v>5970.84</v>
      </c>
      <c r="U23" s="1"/>
      <c r="V23" s="5">
        <f t="shared" si="5"/>
        <v>0</v>
      </c>
      <c r="W23" s="1"/>
      <c r="X23" s="1">
        <f t="shared" si="6"/>
        <v>-2646.9300000000003</v>
      </c>
      <c r="Y23" s="1"/>
      <c r="Z23" s="5">
        <f t="shared" si="7"/>
        <v>-0.4433094840926905</v>
      </c>
    </row>
    <row r="24" spans="1:26" s="24" customFormat="1" hidden="1" outlineLevel="2" x14ac:dyDescent="0.25">
      <c r="A24" s="28"/>
      <c r="B24" s="11" t="str">
        <f>CONCATENATE("          ", "6397", " - ", "BOARD EXPENSES")</f>
        <v xml:space="preserve">          6397 - BOARD EXPENSES</v>
      </c>
      <c r="C24" s="11"/>
      <c r="D24" s="7">
        <v>1425.15</v>
      </c>
      <c r="E24" s="2"/>
      <c r="F24" s="6">
        <f t="shared" si="0"/>
        <v>0</v>
      </c>
      <c r="G24" s="2"/>
      <c r="H24" s="7">
        <v>833.04</v>
      </c>
      <c r="I24" s="2"/>
      <c r="J24" s="6">
        <f t="shared" si="1"/>
        <v>0</v>
      </c>
      <c r="K24" s="2"/>
      <c r="L24" s="7">
        <f t="shared" si="2"/>
        <v>592.11000000000013</v>
      </c>
      <c r="M24" s="2"/>
      <c r="N24" s="6">
        <f t="shared" si="3"/>
        <v>0.71078219533275733</v>
      </c>
      <c r="O24" s="11"/>
      <c r="P24" s="7">
        <v>3323.91</v>
      </c>
      <c r="Q24" s="2"/>
      <c r="R24" s="6">
        <f t="shared" si="4"/>
        <v>0</v>
      </c>
      <c r="S24" s="2"/>
      <c r="T24" s="7">
        <v>5970.84</v>
      </c>
      <c r="U24" s="2"/>
      <c r="V24" s="6">
        <f t="shared" si="5"/>
        <v>0</v>
      </c>
      <c r="W24" s="2"/>
      <c r="X24" s="7">
        <f t="shared" si="6"/>
        <v>-2646.9300000000003</v>
      </c>
      <c r="Y24" s="2"/>
      <c r="Z24" s="6">
        <f t="shared" si="7"/>
        <v>-0.4433094840926905</v>
      </c>
    </row>
    <row r="25" spans="1:26" s="27" customFormat="1" outlineLevel="1" collapsed="1" x14ac:dyDescent="0.25">
      <c r="A25" s="29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10337.75</v>
      </c>
      <c r="Q25" s="1"/>
      <c r="R25" s="5">
        <f t="shared" si="4"/>
        <v>0</v>
      </c>
      <c r="S25" s="1"/>
      <c r="T25" s="1">
        <f>SUM(OSRRefT22_3x_0)</f>
        <v>11585.75</v>
      </c>
      <c r="U25" s="1"/>
      <c r="V25" s="5">
        <f t="shared" si="5"/>
        <v>0</v>
      </c>
      <c r="W25" s="1"/>
      <c r="X25" s="1">
        <f t="shared" si="6"/>
        <v>-1248</v>
      </c>
      <c r="Y25" s="1"/>
      <c r="Z25" s="5">
        <f t="shared" si="7"/>
        <v>-0.10771853354336146</v>
      </c>
    </row>
    <row r="26" spans="1:26" s="24" customFormat="1" hidden="1" outlineLevel="2" x14ac:dyDescent="0.25">
      <c r="A26" s="28"/>
      <c r="B26" s="11" t="str">
        <f>CONCATENATE("          ", "6331", " - ", "INDIRECT COSTS-AUXILIARY ORGAN")</f>
        <v xml:space="preserve">          6331 - INDIRECT COSTS-AUXILIARY ORGAN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10337.75</v>
      </c>
      <c r="Q26" s="2"/>
      <c r="R26" s="6">
        <f t="shared" si="4"/>
        <v>0</v>
      </c>
      <c r="S26" s="2"/>
      <c r="T26" s="7">
        <v>11585.75</v>
      </c>
      <c r="U26" s="2"/>
      <c r="V26" s="6">
        <f t="shared" si="5"/>
        <v>0</v>
      </c>
      <c r="W26" s="2"/>
      <c r="X26" s="7">
        <f t="shared" si="6"/>
        <v>-1248</v>
      </c>
      <c r="Y26" s="2"/>
      <c r="Z26" s="6">
        <f t="shared" si="7"/>
        <v>-0.10771853354336146</v>
      </c>
    </row>
    <row r="27" spans="1:26" s="54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292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5" t="s">
        <v>276</v>
      </c>
      <c r="C30" s="25"/>
      <c r="D30" s="21">
        <f>+D16-D18+D28</f>
        <v>-29742.210000000003</v>
      </c>
      <c r="E30" s="13"/>
      <c r="F30" s="22">
        <f>IF(D$12=0,0,D30/D$12)</f>
        <v>0</v>
      </c>
      <c r="G30" s="13"/>
      <c r="H30" s="21">
        <f>+H16-H18+H28</f>
        <v>-31927.71</v>
      </c>
      <c r="I30" s="13"/>
      <c r="J30" s="22">
        <f>IF(H$12=0,0,H30/H$12)</f>
        <v>0</v>
      </c>
      <c r="K30" s="16"/>
      <c r="L30" s="21">
        <f>+D30-H30</f>
        <v>2185.4999999999964</v>
      </c>
      <c r="M30" s="16"/>
      <c r="N30" s="22">
        <f>IF(H30=0,0,L30/H30)</f>
        <v>-6.8451511242115279E-2</v>
      </c>
      <c r="O30" s="26"/>
      <c r="P30" s="21">
        <f>+P16-P18+P28</f>
        <v>-98446.7</v>
      </c>
      <c r="Q30" s="13"/>
      <c r="R30" s="22">
        <f>IF(P$12=0,0,P30/P$12)</f>
        <v>0</v>
      </c>
      <c r="S30" s="13"/>
      <c r="T30" s="21">
        <f>+T16-T18+T28</f>
        <v>-110257.57999999999</v>
      </c>
      <c r="U30" s="13"/>
      <c r="V30" s="22">
        <f>IF(T$12=0,0,T30/T$12)</f>
        <v>0</v>
      </c>
      <c r="W30" s="16"/>
      <c r="X30" s="21">
        <f>+P30-T30</f>
        <v>11810.87999999999</v>
      </c>
      <c r="Y30" s="16"/>
      <c r="Z30" s="22">
        <f>IF(T30=0,0,X30/T30)</f>
        <v>-0.10712079840678519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127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5" t="s">
        <v>125</v>
      </c>
      <c r="C34" s="25"/>
      <c r="D34" s="33">
        <f>+D30-D32</f>
        <v>-29742.210000000003</v>
      </c>
      <c r="E34" s="13"/>
      <c r="F34" s="35">
        <f>IF(D$12=0,0,D34/D$12)</f>
        <v>0</v>
      </c>
      <c r="G34" s="13"/>
      <c r="H34" s="33">
        <f>+H30-H32</f>
        <v>-31927.71</v>
      </c>
      <c r="I34" s="13"/>
      <c r="J34" s="35">
        <f>IF(H$12=0,0,H34/H$12)</f>
        <v>0</v>
      </c>
      <c r="K34" s="16"/>
      <c r="L34" s="33">
        <f>D34-H34</f>
        <v>2185.4999999999964</v>
      </c>
      <c r="M34" s="16"/>
      <c r="N34" s="35">
        <f>IF(H34=0,0,L34/H34)</f>
        <v>-6.8451511242115279E-2</v>
      </c>
      <c r="O34" s="26"/>
      <c r="P34" s="33">
        <f>+P30-P32</f>
        <v>-98446.7</v>
      </c>
      <c r="Q34" s="13"/>
      <c r="R34" s="35">
        <f>IF(P$12=0,0,P34/P$12)</f>
        <v>0</v>
      </c>
      <c r="S34" s="13"/>
      <c r="T34" s="33">
        <f>+T30-T32</f>
        <v>-110257.57999999999</v>
      </c>
      <c r="U34" s="13"/>
      <c r="V34" s="35">
        <f>IF(T$12=0,0,T34/T$12)</f>
        <v>0</v>
      </c>
      <c r="W34" s="16"/>
      <c r="X34" s="33">
        <f>P34-T34</f>
        <v>11810.87999999999</v>
      </c>
      <c r="Y34" s="16"/>
      <c r="Z34" s="35">
        <f>IF(T34=0,0,X34/T34)</f>
        <v>-0.10712079840678519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5" t="s">
        <v>293</v>
      </c>
      <c r="C37" s="25"/>
      <c r="D37" s="31">
        <f>SUM(D34:D36)</f>
        <v>-29742.210000000003</v>
      </c>
      <c r="E37" s="13"/>
      <c r="F37" s="32">
        <f>IF(D$12=0,0,D37/D$12)</f>
        <v>0</v>
      </c>
      <c r="G37" s="13"/>
      <c r="H37" s="31">
        <f>SUM(H34:H36)</f>
        <v>-31927.71</v>
      </c>
      <c r="I37" s="13"/>
      <c r="J37" s="32">
        <f>IF(H$12=0,0,H37/H$12)</f>
        <v>0</v>
      </c>
      <c r="K37" s="16"/>
      <c r="L37" s="31">
        <f>+D37-H37</f>
        <v>2185.4999999999964</v>
      </c>
      <c r="M37" s="16"/>
      <c r="N37" s="32">
        <f>IF(H37=0,0,L37/H37)</f>
        <v>-6.8451511242115279E-2</v>
      </c>
      <c r="O37" s="26"/>
      <c r="P37" s="31">
        <f>SUM(P34:P36)</f>
        <v>-98446.7</v>
      </c>
      <c r="Q37" s="13"/>
      <c r="R37" s="32">
        <f>IF(P$12=0,0,P37/P$12)</f>
        <v>0</v>
      </c>
      <c r="S37" s="13"/>
      <c r="T37" s="31">
        <f>SUM(T34:T36)</f>
        <v>-110257.57999999999</v>
      </c>
      <c r="U37" s="13"/>
      <c r="V37" s="32">
        <f>IF(T$12=0,0,T37/T$12)</f>
        <v>0</v>
      </c>
      <c r="W37" s="16"/>
      <c r="X37" s="31">
        <f>+P37-T37</f>
        <v>11810.87999999999</v>
      </c>
      <c r="Y37" s="16"/>
      <c r="Z37" s="32">
        <f>IF(T37=0,0,X37/T37)</f>
        <v>-0.10712079840678519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8">
        <v>44481.985668518515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3" t="s">
        <v>56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2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</sheetPr>
  <dimension ref="A2:Z6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","201", " - ", "General Manager")</f>
        <v>Department 201 - General Manager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43782.289999999994</v>
      </c>
      <c r="E18" s="20"/>
      <c r="F18" s="30">
        <f t="shared" ref="F18:F27" si="0">IF(D$12=0,0,D18/D$12)</f>
        <v>0</v>
      </c>
      <c r="G18" s="20"/>
      <c r="H18" s="20">
        <f>SUM(OSRRefH22x_0)</f>
        <v>40329.99</v>
      </c>
      <c r="I18" s="20"/>
      <c r="J18" s="30">
        <f t="shared" ref="J18:J27" si="1">IF(H$12=0,0,H18/H$12)</f>
        <v>0</v>
      </c>
      <c r="K18" s="4"/>
      <c r="L18" s="20">
        <f t="shared" ref="L18:L27" si="2">+D18-H18</f>
        <v>3452.2999999999956</v>
      </c>
      <c r="M18" s="4"/>
      <c r="N18" s="30">
        <f t="shared" ref="N18:N27" si="3">IF(H18=0,0,L18/H18)</f>
        <v>8.5601310587976737E-2</v>
      </c>
      <c r="O18" s="10"/>
      <c r="P18" s="20">
        <f>SUM(OSRRefP22x_0)</f>
        <v>108138.82</v>
      </c>
      <c r="Q18" s="20"/>
      <c r="R18" s="30">
        <f t="shared" ref="R18:R27" si="4">IF(P$12=0,0,P18/P$12)</f>
        <v>0</v>
      </c>
      <c r="S18" s="20"/>
      <c r="T18" s="20">
        <f>SUM(OSRRefT22x_0)</f>
        <v>107256.26000000002</v>
      </c>
      <c r="U18" s="20"/>
      <c r="V18" s="30">
        <f t="shared" ref="V18:V27" si="5">IF(T$12=0,0,T18/T$12)</f>
        <v>0</v>
      </c>
      <c r="W18" s="4"/>
      <c r="X18" s="20">
        <f t="shared" ref="X18:X27" si="6">+P18-T18</f>
        <v>882.55999999998312</v>
      </c>
      <c r="Y18" s="4"/>
      <c r="Z18" s="30">
        <f t="shared" ref="Z18:Z27" si="7">IF(T18=0,0,X18/T18)</f>
        <v>8.2285173844396861E-3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10533.919999999998</v>
      </c>
      <c r="E19" s="1"/>
      <c r="F19" s="5">
        <f t="shared" si="0"/>
        <v>0</v>
      </c>
      <c r="G19" s="1"/>
      <c r="H19" s="1">
        <f>SUM(OSRRefH22_0x_0)</f>
        <v>10116.07</v>
      </c>
      <c r="I19" s="1"/>
      <c r="J19" s="5">
        <f t="shared" si="1"/>
        <v>0</v>
      </c>
      <c r="K19" s="1"/>
      <c r="L19" s="1">
        <f t="shared" si="2"/>
        <v>417.84999999999854</v>
      </c>
      <c r="M19" s="1"/>
      <c r="N19" s="5">
        <f t="shared" si="3"/>
        <v>4.1305566292048054E-2</v>
      </c>
      <c r="O19" s="14"/>
      <c r="P19" s="1">
        <f>SUM(OSRRefP22_0x_0)</f>
        <v>31122.149999999994</v>
      </c>
      <c r="Q19" s="1"/>
      <c r="R19" s="5">
        <f t="shared" si="4"/>
        <v>0</v>
      </c>
      <c r="S19" s="1"/>
      <c r="T19" s="1">
        <f>SUM(OSRRefT22_0x_0)</f>
        <v>31492.45</v>
      </c>
      <c r="U19" s="1"/>
      <c r="V19" s="5">
        <f t="shared" si="5"/>
        <v>0</v>
      </c>
      <c r="W19" s="1"/>
      <c r="X19" s="1">
        <f t="shared" si="6"/>
        <v>-370.30000000000655</v>
      </c>
      <c r="Y19" s="1"/>
      <c r="Z19" s="5">
        <f t="shared" si="7"/>
        <v>-1.1758373832458464E-2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1454.4</v>
      </c>
      <c r="E20" s="2"/>
      <c r="F20" s="6">
        <f t="shared" si="0"/>
        <v>0</v>
      </c>
      <c r="G20" s="2"/>
      <c r="H20" s="7">
        <v>1279.5999999999999</v>
      </c>
      <c r="I20" s="2"/>
      <c r="J20" s="6">
        <f t="shared" si="1"/>
        <v>0</v>
      </c>
      <c r="K20" s="2"/>
      <c r="L20" s="7">
        <f t="shared" si="2"/>
        <v>174.80000000000018</v>
      </c>
      <c r="M20" s="2"/>
      <c r="N20" s="6">
        <f t="shared" si="3"/>
        <v>0.13660518912160066</v>
      </c>
      <c r="O20" s="11"/>
      <c r="P20" s="7">
        <v>4357.46</v>
      </c>
      <c r="Q20" s="2"/>
      <c r="R20" s="6">
        <f t="shared" si="4"/>
        <v>0</v>
      </c>
      <c r="S20" s="2"/>
      <c r="T20" s="7">
        <v>4174.7</v>
      </c>
      <c r="U20" s="2"/>
      <c r="V20" s="6">
        <f t="shared" si="5"/>
        <v>0</v>
      </c>
      <c r="W20" s="2"/>
      <c r="X20" s="7">
        <f t="shared" si="6"/>
        <v>182.76000000000022</v>
      </c>
      <c r="Y20" s="2"/>
      <c r="Z20" s="6">
        <f t="shared" si="7"/>
        <v>4.3777996023666423E-2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245.25</v>
      </c>
      <c r="E21" s="2"/>
      <c r="F21" s="6">
        <f t="shared" si="0"/>
        <v>0</v>
      </c>
      <c r="G21" s="2"/>
      <c r="H21" s="7">
        <v>62.43</v>
      </c>
      <c r="I21" s="2"/>
      <c r="J21" s="6">
        <f t="shared" si="1"/>
        <v>0</v>
      </c>
      <c r="K21" s="2"/>
      <c r="L21" s="7">
        <f t="shared" si="2"/>
        <v>182.82</v>
      </c>
      <c r="M21" s="2"/>
      <c r="N21" s="6">
        <f t="shared" si="3"/>
        <v>2.9283998077847189</v>
      </c>
      <c r="O21" s="11"/>
      <c r="P21" s="7">
        <v>734.78</v>
      </c>
      <c r="Q21" s="2"/>
      <c r="R21" s="6">
        <f t="shared" si="4"/>
        <v>0</v>
      </c>
      <c r="S21" s="2"/>
      <c r="T21" s="7">
        <v>187.32</v>
      </c>
      <c r="U21" s="2"/>
      <c r="V21" s="6">
        <f t="shared" si="5"/>
        <v>0</v>
      </c>
      <c r="W21" s="2"/>
      <c r="X21" s="7">
        <f t="shared" si="6"/>
        <v>547.46</v>
      </c>
      <c r="Y21" s="2"/>
      <c r="Z21" s="6">
        <f t="shared" si="7"/>
        <v>2.9225923553277817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4108.09</v>
      </c>
      <c r="E22" s="2"/>
      <c r="F22" s="6">
        <f t="shared" si="0"/>
        <v>0</v>
      </c>
      <c r="G22" s="2"/>
      <c r="H22" s="7">
        <v>4070.76</v>
      </c>
      <c r="I22" s="2"/>
      <c r="J22" s="6">
        <f t="shared" si="1"/>
        <v>0</v>
      </c>
      <c r="K22" s="2"/>
      <c r="L22" s="7">
        <f t="shared" si="2"/>
        <v>37.329999999999927</v>
      </c>
      <c r="M22" s="2"/>
      <c r="N22" s="6">
        <f t="shared" si="3"/>
        <v>9.1702777859662393E-3</v>
      </c>
      <c r="O22" s="11"/>
      <c r="P22" s="7">
        <v>11927.39</v>
      </c>
      <c r="Q22" s="2"/>
      <c r="R22" s="6">
        <f t="shared" si="4"/>
        <v>0</v>
      </c>
      <c r="S22" s="2"/>
      <c r="T22" s="7">
        <v>12106.96</v>
      </c>
      <c r="U22" s="2"/>
      <c r="V22" s="6">
        <f t="shared" si="5"/>
        <v>0</v>
      </c>
      <c r="W22" s="2"/>
      <c r="X22" s="7">
        <f t="shared" si="6"/>
        <v>-179.56999999999971</v>
      </c>
      <c r="Y22" s="2"/>
      <c r="Z22" s="6">
        <f t="shared" si="7"/>
        <v>-1.4831964423769444E-2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49.43</v>
      </c>
      <c r="E23" s="2"/>
      <c r="F23" s="6">
        <f t="shared" si="0"/>
        <v>0</v>
      </c>
      <c r="G23" s="2"/>
      <c r="H23" s="7">
        <v>49.19</v>
      </c>
      <c r="I23" s="2"/>
      <c r="J23" s="6">
        <f t="shared" si="1"/>
        <v>0</v>
      </c>
      <c r="K23" s="2"/>
      <c r="L23" s="7">
        <f t="shared" si="2"/>
        <v>0.24000000000000199</v>
      </c>
      <c r="M23" s="2"/>
      <c r="N23" s="6">
        <f t="shared" si="3"/>
        <v>4.8790404553771495E-3</v>
      </c>
      <c r="O23" s="11"/>
      <c r="P23" s="7">
        <v>148.1</v>
      </c>
      <c r="Q23" s="2"/>
      <c r="R23" s="6">
        <f t="shared" si="4"/>
        <v>0</v>
      </c>
      <c r="S23" s="2"/>
      <c r="T23" s="7">
        <v>147.59</v>
      </c>
      <c r="U23" s="2"/>
      <c r="V23" s="6">
        <f t="shared" si="5"/>
        <v>0</v>
      </c>
      <c r="W23" s="2"/>
      <c r="X23" s="7">
        <f t="shared" si="6"/>
        <v>0.50999999999999091</v>
      </c>
      <c r="Y23" s="2"/>
      <c r="Z23" s="6">
        <f t="shared" si="7"/>
        <v>3.4555186665762645E-3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2020.98</v>
      </c>
      <c r="E24" s="2"/>
      <c r="F24" s="6">
        <f t="shared" si="0"/>
        <v>0</v>
      </c>
      <c r="G24" s="2"/>
      <c r="H24" s="7">
        <v>2049.0300000000002</v>
      </c>
      <c r="I24" s="2"/>
      <c r="J24" s="6">
        <f t="shared" si="1"/>
        <v>0</v>
      </c>
      <c r="K24" s="2"/>
      <c r="L24" s="7">
        <f t="shared" si="2"/>
        <v>-28.050000000000182</v>
      </c>
      <c r="M24" s="2"/>
      <c r="N24" s="6">
        <f t="shared" si="3"/>
        <v>-1.3689404254696213E-2</v>
      </c>
      <c r="O24" s="11"/>
      <c r="P24" s="7">
        <v>6062.94</v>
      </c>
      <c r="Q24" s="2"/>
      <c r="R24" s="6">
        <f t="shared" si="4"/>
        <v>0</v>
      </c>
      <c r="S24" s="2"/>
      <c r="T24" s="7">
        <v>7171.61</v>
      </c>
      <c r="U24" s="2"/>
      <c r="V24" s="6">
        <f t="shared" si="5"/>
        <v>0</v>
      </c>
      <c r="W24" s="2"/>
      <c r="X24" s="7">
        <f t="shared" si="6"/>
        <v>-1108.67</v>
      </c>
      <c r="Y24" s="2"/>
      <c r="Z24" s="6">
        <f t="shared" si="7"/>
        <v>-0.15459150734632812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7">
        <v>1658.98</v>
      </c>
      <c r="E25" s="2"/>
      <c r="F25" s="6">
        <f t="shared" si="0"/>
        <v>0</v>
      </c>
      <c r="G25" s="2"/>
      <c r="H25" s="7">
        <v>1658.98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4976.9399999999996</v>
      </c>
      <c r="Q25" s="2"/>
      <c r="R25" s="6">
        <f t="shared" si="4"/>
        <v>0</v>
      </c>
      <c r="S25" s="2"/>
      <c r="T25" s="7">
        <v>4976.9399999999996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7">
        <v>856.8</v>
      </c>
      <c r="E26" s="2"/>
      <c r="F26" s="6">
        <f t="shared" si="0"/>
        <v>0</v>
      </c>
      <c r="G26" s="2"/>
      <c r="H26" s="7">
        <v>856.8</v>
      </c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2570.4</v>
      </c>
      <c r="Q26" s="2"/>
      <c r="R26" s="6">
        <f t="shared" si="4"/>
        <v>0</v>
      </c>
      <c r="S26" s="2"/>
      <c r="T26" s="7">
        <v>2570.4</v>
      </c>
      <c r="U26" s="2"/>
      <c r="V26" s="6">
        <f t="shared" si="5"/>
        <v>0</v>
      </c>
      <c r="W26" s="2"/>
      <c r="X26" s="7">
        <f t="shared" si="6"/>
        <v>0</v>
      </c>
      <c r="Y26" s="2"/>
      <c r="Z26" s="6">
        <f t="shared" si="7"/>
        <v>0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7">
        <v>139.99</v>
      </c>
      <c r="E27" s="2"/>
      <c r="F27" s="6">
        <f t="shared" si="0"/>
        <v>0</v>
      </c>
      <c r="G27" s="2"/>
      <c r="H27" s="7">
        <v>89.28</v>
      </c>
      <c r="I27" s="2"/>
      <c r="J27" s="6">
        <f t="shared" si="1"/>
        <v>0</v>
      </c>
      <c r="K27" s="2"/>
      <c r="L27" s="7">
        <f t="shared" si="2"/>
        <v>50.710000000000008</v>
      </c>
      <c r="M27" s="2"/>
      <c r="N27" s="6">
        <f t="shared" si="3"/>
        <v>0.56798835125448033</v>
      </c>
      <c r="O27" s="11"/>
      <c r="P27" s="7">
        <v>344.14</v>
      </c>
      <c r="Q27" s="2"/>
      <c r="R27" s="6">
        <f t="shared" si="4"/>
        <v>0</v>
      </c>
      <c r="S27" s="2"/>
      <c r="T27" s="7">
        <v>156.93</v>
      </c>
      <c r="U27" s="2"/>
      <c r="V27" s="6">
        <f t="shared" si="5"/>
        <v>0</v>
      </c>
      <c r="W27" s="2"/>
      <c r="X27" s="7">
        <f t="shared" si="6"/>
        <v>187.20999999999998</v>
      </c>
      <c r="Y27" s="2"/>
      <c r="Z27" s="6">
        <f t="shared" si="7"/>
        <v>1.1929522717135026</v>
      </c>
    </row>
    <row r="28" spans="1:26" s="27" customFormat="1" outlineLevel="1" collapsed="1" x14ac:dyDescent="0.25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15617.07</v>
      </c>
      <c r="E28" s="1"/>
      <c r="F28" s="5">
        <f t="shared" ref="F28:F30" si="8">IF(D$12=0,0,D28/D$12)</f>
        <v>0</v>
      </c>
      <c r="G28" s="1"/>
      <c r="H28" s="1">
        <f>SUM(OSRRefH22_1x_0)</f>
        <v>19036.760000000002</v>
      </c>
      <c r="I28" s="1"/>
      <c r="J28" s="5">
        <f t="shared" ref="J28:J30" si="9">IF(H$12=0,0,H28/H$12)</f>
        <v>0</v>
      </c>
      <c r="K28" s="1"/>
      <c r="L28" s="1">
        <f t="shared" ref="L28:L30" si="10">+D28-H28</f>
        <v>-3419.6900000000023</v>
      </c>
      <c r="M28" s="1"/>
      <c r="N28" s="5">
        <f t="shared" ref="N28:N30" si="11">IF(H28=0,0,L28/H28)</f>
        <v>-0.17963613556088337</v>
      </c>
      <c r="O28" s="14"/>
      <c r="P28" s="1">
        <f>SUM(OSRRefP22_1x_0)</f>
        <v>50853.969999999994</v>
      </c>
      <c r="Q28" s="1"/>
      <c r="R28" s="5">
        <f t="shared" ref="R28:R30" si="12">IF(P$12=0,0,P28/P$12)</f>
        <v>0</v>
      </c>
      <c r="S28" s="1"/>
      <c r="T28" s="1">
        <f>SUM(OSRRefT22_1x_0)</f>
        <v>54662.22</v>
      </c>
      <c r="U28" s="1"/>
      <c r="V28" s="5">
        <f t="shared" ref="V28:V30" si="13">IF(T$12=0,0,T28/T$12)</f>
        <v>0</v>
      </c>
      <c r="W28" s="1"/>
      <c r="X28" s="1">
        <f t="shared" ref="X28:X30" si="14">+P28-T28</f>
        <v>-3808.2500000000073</v>
      </c>
      <c r="Y28" s="1"/>
      <c r="Z28" s="5">
        <f t="shared" ref="Z28:Z30" si="15">IF(T28=0,0,X28/T28)</f>
        <v>-6.9668776716350106E-2</v>
      </c>
    </row>
    <row r="29" spans="1:26" s="24" customFormat="1" hidden="1" outlineLevel="2" x14ac:dyDescent="0.25">
      <c r="A29" s="28"/>
      <c r="B29" s="11" t="str">
        <f>CONCATENATE("          ", "6001", " - ", "ADMINISTRATIVE SALARIES")</f>
        <v xml:space="preserve">          6001 - ADMINISTRATIVE SALARIES</v>
      </c>
      <c r="C29" s="11"/>
      <c r="D29" s="7">
        <v>10720.59</v>
      </c>
      <c r="E29" s="2"/>
      <c r="F29" s="6">
        <f t="shared" si="8"/>
        <v>0</v>
      </c>
      <c r="G29" s="2"/>
      <c r="H29" s="7">
        <v>14140.28</v>
      </c>
      <c r="I29" s="2"/>
      <c r="J29" s="6">
        <f t="shared" si="9"/>
        <v>0</v>
      </c>
      <c r="K29" s="2"/>
      <c r="L29" s="7">
        <f t="shared" si="10"/>
        <v>-3419.6900000000005</v>
      </c>
      <c r="M29" s="2"/>
      <c r="N29" s="6">
        <f t="shared" si="11"/>
        <v>-0.24184033130885671</v>
      </c>
      <c r="O29" s="11"/>
      <c r="P29" s="7">
        <v>37633.589999999997</v>
      </c>
      <c r="Q29" s="2"/>
      <c r="R29" s="6">
        <f t="shared" si="12"/>
        <v>0</v>
      </c>
      <c r="S29" s="2"/>
      <c r="T29" s="7">
        <v>42421.15</v>
      </c>
      <c r="U29" s="2"/>
      <c r="V29" s="6">
        <f t="shared" si="13"/>
        <v>0</v>
      </c>
      <c r="W29" s="2"/>
      <c r="X29" s="7">
        <f t="shared" si="14"/>
        <v>-4787.5600000000049</v>
      </c>
      <c r="Y29" s="2"/>
      <c r="Z29" s="6">
        <f t="shared" si="15"/>
        <v>-0.11285785510293815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7">
        <v>4896.4799999999996</v>
      </c>
      <c r="E30" s="2"/>
      <c r="F30" s="6">
        <f t="shared" si="8"/>
        <v>0</v>
      </c>
      <c r="G30" s="2"/>
      <c r="H30" s="7">
        <v>4896.4799999999996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>
        <v>13220.38</v>
      </c>
      <c r="Q30" s="2"/>
      <c r="R30" s="6">
        <f t="shared" si="12"/>
        <v>0</v>
      </c>
      <c r="S30" s="2"/>
      <c r="T30" s="7">
        <v>12241.07</v>
      </c>
      <c r="U30" s="2"/>
      <c r="V30" s="6">
        <f t="shared" si="13"/>
        <v>0</v>
      </c>
      <c r="W30" s="2"/>
      <c r="X30" s="7">
        <f t="shared" si="14"/>
        <v>979.30999999999949</v>
      </c>
      <c r="Y30" s="2"/>
      <c r="Z30" s="6">
        <f t="shared" si="15"/>
        <v>8.0001993289802245E-2</v>
      </c>
    </row>
    <row r="31" spans="1:26" s="27" customFormat="1" outlineLevel="1" collapsed="1" x14ac:dyDescent="0.25">
      <c r="A31" s="29"/>
      <c r="B31" s="14" t="str">
        <f>CONCATENATE("     ","Advertising/Promo                                 ")</f>
        <v xml:space="preserve">     Advertising/Promo                                 </v>
      </c>
      <c r="C31" s="14"/>
      <c r="D31" s="1">
        <f>SUM(OSRRefD22_2x_0)</f>
        <v>57.24</v>
      </c>
      <c r="E31" s="1"/>
      <c r="F31" s="5">
        <f t="shared" ref="F31:F43" si="16">IF(D$12=0,0,D31/D$12)</f>
        <v>0</v>
      </c>
      <c r="G31" s="1"/>
      <c r="H31" s="1">
        <f>SUM(OSRRefH22_2x_0)</f>
        <v>4.95</v>
      </c>
      <c r="I31" s="1"/>
      <c r="J31" s="5">
        <f t="shared" ref="J31:J43" si="17">IF(H$12=0,0,H31/H$12)</f>
        <v>0</v>
      </c>
      <c r="K31" s="1"/>
      <c r="L31" s="1">
        <f t="shared" ref="L31:L43" si="18">+D31-H31</f>
        <v>52.29</v>
      </c>
      <c r="M31" s="1"/>
      <c r="N31" s="5">
        <f t="shared" ref="N31:N43" si="19">IF(H31=0,0,L31/H31)</f>
        <v>10.563636363636363</v>
      </c>
      <c r="O31" s="14"/>
      <c r="P31" s="1">
        <f>SUM(OSRRefP22_2x_0)</f>
        <v>186.42</v>
      </c>
      <c r="Q31" s="1"/>
      <c r="R31" s="5">
        <f t="shared" ref="R31:R43" si="20">IF(P$12=0,0,P31/P$12)</f>
        <v>0</v>
      </c>
      <c r="S31" s="1"/>
      <c r="T31" s="1">
        <f>SUM(OSRRefT22_2x_0)</f>
        <v>66.8</v>
      </c>
      <c r="U31" s="1"/>
      <c r="V31" s="5">
        <f t="shared" ref="V31:V43" si="21">IF(T$12=0,0,T31/T$12)</f>
        <v>0</v>
      </c>
      <c r="W31" s="1"/>
      <c r="X31" s="1">
        <f t="shared" ref="X31:X43" si="22">+P31-T31</f>
        <v>119.61999999999999</v>
      </c>
      <c r="Y31" s="1"/>
      <c r="Z31" s="5">
        <f t="shared" ref="Z31:Z43" si="23">IF(T31=0,0,X31/T31)</f>
        <v>1.7907185628742515</v>
      </c>
    </row>
    <row r="32" spans="1:26" s="24" customFormat="1" hidden="1" outlineLevel="2" x14ac:dyDescent="0.25">
      <c r="A32" s="28"/>
      <c r="B32" s="11" t="str">
        <f>CONCATENATE("          ", "6362", " - ", "ADVERTISING EXPENSE")</f>
        <v xml:space="preserve">          6362 - ADVERTISING EXPENSE</v>
      </c>
      <c r="C32" s="11"/>
      <c r="D32" s="7">
        <v>57.24</v>
      </c>
      <c r="E32" s="2"/>
      <c r="F32" s="6">
        <f t="shared" si="16"/>
        <v>0</v>
      </c>
      <c r="G32" s="2"/>
      <c r="H32" s="7">
        <v>4.95</v>
      </c>
      <c r="I32" s="2"/>
      <c r="J32" s="6">
        <f t="shared" si="17"/>
        <v>0</v>
      </c>
      <c r="K32" s="2"/>
      <c r="L32" s="7">
        <f t="shared" si="18"/>
        <v>52.29</v>
      </c>
      <c r="M32" s="2"/>
      <c r="N32" s="6">
        <f t="shared" si="19"/>
        <v>10.563636363636363</v>
      </c>
      <c r="O32" s="11"/>
      <c r="P32" s="7">
        <v>186.42</v>
      </c>
      <c r="Q32" s="2"/>
      <c r="R32" s="6">
        <f t="shared" si="20"/>
        <v>0</v>
      </c>
      <c r="S32" s="2"/>
      <c r="T32" s="7">
        <v>66.8</v>
      </c>
      <c r="U32" s="2"/>
      <c r="V32" s="6">
        <f t="shared" si="21"/>
        <v>0</v>
      </c>
      <c r="W32" s="2"/>
      <c r="X32" s="7">
        <f t="shared" si="22"/>
        <v>119.61999999999999</v>
      </c>
      <c r="Y32" s="2"/>
      <c r="Z32" s="6">
        <f t="shared" si="23"/>
        <v>1.7907185628742515</v>
      </c>
    </row>
    <row r="33" spans="1:26" s="27" customFormat="1" outlineLevel="1" collapsed="1" x14ac:dyDescent="0.25">
      <c r="A33" s="29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SUM(OSRRefD22_3x_0)</f>
        <v>314.87</v>
      </c>
      <c r="E33" s="1"/>
      <c r="F33" s="5">
        <f t="shared" si="16"/>
        <v>0</v>
      </c>
      <c r="G33" s="1"/>
      <c r="H33" s="1">
        <f>SUM(OSRRefH22_3x_0)</f>
        <v>314.87</v>
      </c>
      <c r="I33" s="1"/>
      <c r="J33" s="5">
        <f t="shared" si="17"/>
        <v>0</v>
      </c>
      <c r="K33" s="1"/>
      <c r="L33" s="1">
        <f t="shared" si="18"/>
        <v>0</v>
      </c>
      <c r="M33" s="1"/>
      <c r="N33" s="5">
        <f t="shared" si="19"/>
        <v>0</v>
      </c>
      <c r="O33" s="14"/>
      <c r="P33" s="1">
        <f>SUM(OSRRefP22_3x_0)</f>
        <v>944.61</v>
      </c>
      <c r="Q33" s="1"/>
      <c r="R33" s="5">
        <f t="shared" si="20"/>
        <v>0</v>
      </c>
      <c r="S33" s="1"/>
      <c r="T33" s="1">
        <f>SUM(OSRRefT22_3x_0)</f>
        <v>944.61</v>
      </c>
      <c r="U33" s="1"/>
      <c r="V33" s="5">
        <f t="shared" si="21"/>
        <v>0</v>
      </c>
      <c r="W33" s="1"/>
      <c r="X33" s="1">
        <f t="shared" si="22"/>
        <v>0</v>
      </c>
      <c r="Y33" s="1"/>
      <c r="Z33" s="5">
        <f t="shared" si="23"/>
        <v>0</v>
      </c>
    </row>
    <row r="34" spans="1:26" s="24" customFormat="1" hidden="1" outlineLevel="2" x14ac:dyDescent="0.25">
      <c r="A34" s="28"/>
      <c r="B34" s="11" t="str">
        <f>CONCATENATE("          ", "6322", " - ", "EQUIPMENT DEPRECIATION EXPENSE")</f>
        <v xml:space="preserve">          6322 - EQUIPMENT DEPRECIATION EXPENSE</v>
      </c>
      <c r="C34" s="11"/>
      <c r="D34" s="7">
        <v>314.87</v>
      </c>
      <c r="E34" s="2"/>
      <c r="F34" s="6">
        <f t="shared" si="16"/>
        <v>0</v>
      </c>
      <c r="G34" s="2"/>
      <c r="H34" s="7">
        <v>314.87</v>
      </c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>
        <v>944.61</v>
      </c>
      <c r="Q34" s="2"/>
      <c r="R34" s="6">
        <f t="shared" si="20"/>
        <v>0</v>
      </c>
      <c r="S34" s="2"/>
      <c r="T34" s="7">
        <v>944.61</v>
      </c>
      <c r="U34" s="2"/>
      <c r="V34" s="6">
        <f t="shared" si="21"/>
        <v>0</v>
      </c>
      <c r="W34" s="2"/>
      <c r="X34" s="7">
        <f t="shared" si="22"/>
        <v>0</v>
      </c>
      <c r="Y34" s="2"/>
      <c r="Z34" s="6">
        <f t="shared" si="23"/>
        <v>0</v>
      </c>
    </row>
    <row r="35" spans="1:26" s="27" customFormat="1" outlineLevel="1" collapsed="1" x14ac:dyDescent="0.25">
      <c r="A35" s="29"/>
      <c r="B35" s="14" t="str">
        <f>CONCATENATE("     ","Equipment Rental                                  ")</f>
        <v xml:space="preserve">     Equipment Rental                                  </v>
      </c>
      <c r="C35" s="14"/>
      <c r="D35" s="1">
        <f>SUM(OSRRefD22_4x_0)</f>
        <v>117.71</v>
      </c>
      <c r="E35" s="1"/>
      <c r="F35" s="5">
        <f t="shared" si="16"/>
        <v>0</v>
      </c>
      <c r="G35" s="1"/>
      <c r="H35" s="1">
        <f>SUM(OSRRefH22_4x_0)</f>
        <v>117.71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SUM(OSRRefP22_4x_0)</f>
        <v>353.13</v>
      </c>
      <c r="Q35" s="1"/>
      <c r="R35" s="5">
        <f t="shared" si="20"/>
        <v>0</v>
      </c>
      <c r="S35" s="1"/>
      <c r="T35" s="1">
        <f>SUM(OSRRefT22_4x_0)</f>
        <v>353.13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8"/>
      <c r="B36" s="11" t="str">
        <f>CONCATENATE("          ", "6351", " - ", "EQUIPMENT RENTAL")</f>
        <v xml:space="preserve">          6351 - EQUIPMENT RENTAL</v>
      </c>
      <c r="C36" s="11"/>
      <c r="D36" s="7">
        <v>117.71</v>
      </c>
      <c r="E36" s="2"/>
      <c r="F36" s="6">
        <f t="shared" si="16"/>
        <v>0</v>
      </c>
      <c r="G36" s="2"/>
      <c r="H36" s="7">
        <v>117.71</v>
      </c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>
        <v>353.13</v>
      </c>
      <c r="Q36" s="2"/>
      <c r="R36" s="6">
        <f t="shared" si="20"/>
        <v>0</v>
      </c>
      <c r="S36" s="2"/>
      <c r="T36" s="7">
        <v>353.13</v>
      </c>
      <c r="U36" s="2"/>
      <c r="V36" s="6">
        <f t="shared" si="21"/>
        <v>0</v>
      </c>
      <c r="W36" s="2"/>
      <c r="X36" s="7">
        <f t="shared" si="22"/>
        <v>0</v>
      </c>
      <c r="Y36" s="2"/>
      <c r="Z36" s="6">
        <f t="shared" si="23"/>
        <v>0</v>
      </c>
    </row>
    <row r="37" spans="1:26" s="27" customFormat="1" outlineLevel="1" collapsed="1" x14ac:dyDescent="0.25">
      <c r="A37" s="29"/>
      <c r="B37" s="14" t="str">
        <f>CONCATENATE("     ","Freight out/Postage                               ")</f>
        <v xml:space="preserve">     Freight out/Postage                               </v>
      </c>
      <c r="C37" s="14"/>
      <c r="D37" s="1">
        <f>SUM(OSRRefD22_5x_0)</f>
        <v>6.97</v>
      </c>
      <c r="E37" s="1"/>
      <c r="F37" s="5">
        <f t="shared" si="16"/>
        <v>0</v>
      </c>
      <c r="G37" s="1"/>
      <c r="H37" s="1">
        <f>SUM(OSRRefH22_5x_0)</f>
        <v>24.78</v>
      </c>
      <c r="I37" s="1"/>
      <c r="J37" s="5">
        <f t="shared" si="17"/>
        <v>0</v>
      </c>
      <c r="K37" s="1"/>
      <c r="L37" s="1">
        <f t="shared" si="18"/>
        <v>-17.810000000000002</v>
      </c>
      <c r="M37" s="1"/>
      <c r="N37" s="5">
        <f t="shared" si="19"/>
        <v>-0.71872477804681201</v>
      </c>
      <c r="O37" s="14"/>
      <c r="P37" s="1">
        <f>SUM(OSRRefP22_5x_0)</f>
        <v>19.850000000000001</v>
      </c>
      <c r="Q37" s="1"/>
      <c r="R37" s="5">
        <f t="shared" si="20"/>
        <v>0</v>
      </c>
      <c r="S37" s="1"/>
      <c r="T37" s="1">
        <f>SUM(OSRRefT22_5x_0)</f>
        <v>24.78</v>
      </c>
      <c r="U37" s="1"/>
      <c r="V37" s="5">
        <f t="shared" si="21"/>
        <v>0</v>
      </c>
      <c r="W37" s="1"/>
      <c r="X37" s="1">
        <f t="shared" si="22"/>
        <v>-4.93</v>
      </c>
      <c r="Y37" s="1"/>
      <c r="Z37" s="5">
        <f t="shared" si="23"/>
        <v>-0.19895076674737688</v>
      </c>
    </row>
    <row r="38" spans="1:26" s="24" customFormat="1" hidden="1" outlineLevel="2" x14ac:dyDescent="0.25">
      <c r="A38" s="28"/>
      <c r="B38" s="11" t="str">
        <f>CONCATENATE("          ", "6307", " - ", "POSTAGE")</f>
        <v xml:space="preserve">          6307 - POSTAGE</v>
      </c>
      <c r="C38" s="11"/>
      <c r="D38" s="7">
        <v>6.97</v>
      </c>
      <c r="E38" s="2"/>
      <c r="F38" s="6">
        <f t="shared" si="16"/>
        <v>0</v>
      </c>
      <c r="G38" s="2"/>
      <c r="H38" s="7">
        <v>24.78</v>
      </c>
      <c r="I38" s="2"/>
      <c r="J38" s="6">
        <f t="shared" si="17"/>
        <v>0</v>
      </c>
      <c r="K38" s="2"/>
      <c r="L38" s="7">
        <f t="shared" si="18"/>
        <v>-17.810000000000002</v>
      </c>
      <c r="M38" s="2"/>
      <c r="N38" s="6">
        <f t="shared" si="19"/>
        <v>-0.71872477804681201</v>
      </c>
      <c r="O38" s="11"/>
      <c r="P38" s="7">
        <v>19.850000000000001</v>
      </c>
      <c r="Q38" s="2"/>
      <c r="R38" s="6">
        <f t="shared" si="20"/>
        <v>0</v>
      </c>
      <c r="S38" s="2"/>
      <c r="T38" s="7">
        <v>24.78</v>
      </c>
      <c r="U38" s="2"/>
      <c r="V38" s="6">
        <f t="shared" si="21"/>
        <v>0</v>
      </c>
      <c r="W38" s="2"/>
      <c r="X38" s="7">
        <f t="shared" si="22"/>
        <v>-4.93</v>
      </c>
      <c r="Y38" s="2"/>
      <c r="Z38" s="6">
        <f t="shared" si="23"/>
        <v>-0.19895076674737688</v>
      </c>
    </row>
    <row r="39" spans="1:26" s="27" customFormat="1" outlineLevel="1" collapsed="1" x14ac:dyDescent="0.25">
      <c r="A39" s="29"/>
      <c r="B39" s="14" t="str">
        <f>CONCATENATE("     ","Insurance                                         ")</f>
        <v xml:space="preserve">     Insurance                                         </v>
      </c>
      <c r="C39" s="14"/>
      <c r="D39" s="1">
        <f>SUM(OSRRefD22_6x_0)</f>
        <v>156.47999999999999</v>
      </c>
      <c r="E39" s="1"/>
      <c r="F39" s="5">
        <f t="shared" si="16"/>
        <v>0</v>
      </c>
      <c r="G39" s="1"/>
      <c r="H39" s="1">
        <f>SUM(OSRRefH22_6x_0)</f>
        <v>115.13</v>
      </c>
      <c r="I39" s="1"/>
      <c r="J39" s="5">
        <f t="shared" si="17"/>
        <v>0</v>
      </c>
      <c r="K39" s="1"/>
      <c r="L39" s="1">
        <f t="shared" si="18"/>
        <v>41.349999999999994</v>
      </c>
      <c r="M39" s="1"/>
      <c r="N39" s="5">
        <f t="shared" si="19"/>
        <v>0.35915921132632672</v>
      </c>
      <c r="O39" s="14"/>
      <c r="P39" s="1">
        <f>SUM(OSRRefP22_6x_0)</f>
        <v>469.44</v>
      </c>
      <c r="Q39" s="1"/>
      <c r="R39" s="5">
        <f t="shared" si="20"/>
        <v>0</v>
      </c>
      <c r="S39" s="1"/>
      <c r="T39" s="1">
        <f>SUM(OSRRefT22_6x_0)</f>
        <v>345.39</v>
      </c>
      <c r="U39" s="1"/>
      <c r="V39" s="5">
        <f t="shared" si="21"/>
        <v>0</v>
      </c>
      <c r="W39" s="1"/>
      <c r="X39" s="1">
        <f t="shared" si="22"/>
        <v>124.05000000000001</v>
      </c>
      <c r="Y39" s="1"/>
      <c r="Z39" s="5">
        <f t="shared" si="23"/>
        <v>0.35915921132632683</v>
      </c>
    </row>
    <row r="40" spans="1:26" s="24" customFormat="1" hidden="1" outlineLevel="2" x14ac:dyDescent="0.25">
      <c r="A40" s="28"/>
      <c r="B40" s="11" t="str">
        <f>CONCATENATE("          ", "6314", " - ", "LIABILITY INSURANCE")</f>
        <v xml:space="preserve">          6314 - LIABILITY INSURANCE</v>
      </c>
      <c r="C40" s="11"/>
      <c r="D40" s="7">
        <v>156.47999999999999</v>
      </c>
      <c r="E40" s="2"/>
      <c r="F40" s="6">
        <f t="shared" si="16"/>
        <v>0</v>
      </c>
      <c r="G40" s="2"/>
      <c r="H40" s="7">
        <v>115.13</v>
      </c>
      <c r="I40" s="2"/>
      <c r="J40" s="6">
        <f t="shared" si="17"/>
        <v>0</v>
      </c>
      <c r="K40" s="2"/>
      <c r="L40" s="7">
        <f t="shared" si="18"/>
        <v>41.349999999999994</v>
      </c>
      <c r="M40" s="2"/>
      <c r="N40" s="6">
        <f t="shared" si="19"/>
        <v>0.35915921132632672</v>
      </c>
      <c r="O40" s="11"/>
      <c r="P40" s="7">
        <v>469.44</v>
      </c>
      <c r="Q40" s="2"/>
      <c r="R40" s="6">
        <f t="shared" si="20"/>
        <v>0</v>
      </c>
      <c r="S40" s="2"/>
      <c r="T40" s="7">
        <v>345.39</v>
      </c>
      <c r="U40" s="2"/>
      <c r="V40" s="6">
        <f t="shared" si="21"/>
        <v>0</v>
      </c>
      <c r="W40" s="2"/>
      <c r="X40" s="7">
        <f t="shared" si="22"/>
        <v>124.05000000000001</v>
      </c>
      <c r="Y40" s="2"/>
      <c r="Z40" s="6">
        <f t="shared" si="23"/>
        <v>0.35915921132632683</v>
      </c>
    </row>
    <row r="41" spans="1:26" s="27" customFormat="1" outlineLevel="1" collapsed="1" x14ac:dyDescent="0.25">
      <c r="A41" s="29"/>
      <c r="B41" s="14" t="str">
        <f>CONCATENATE("     ","Professional Services                             ")</f>
        <v xml:space="preserve">     Professional Services                             </v>
      </c>
      <c r="C41" s="14"/>
      <c r="D41" s="1">
        <f>SUM(OSRRefD22_7x_0)</f>
        <v>16500</v>
      </c>
      <c r="E41" s="1"/>
      <c r="F41" s="5">
        <f t="shared" si="16"/>
        <v>0</v>
      </c>
      <c r="G41" s="1"/>
      <c r="H41" s="1">
        <f>SUM(OSRRefH22_7x_0)</f>
        <v>8500</v>
      </c>
      <c r="I41" s="1"/>
      <c r="J41" s="5">
        <f t="shared" si="17"/>
        <v>0</v>
      </c>
      <c r="K41" s="1"/>
      <c r="L41" s="1">
        <f t="shared" si="18"/>
        <v>8000</v>
      </c>
      <c r="M41" s="1"/>
      <c r="N41" s="5">
        <f t="shared" si="19"/>
        <v>0.94117647058823528</v>
      </c>
      <c r="O41" s="14"/>
      <c r="P41" s="1">
        <f>SUM(OSRRefP22_7x_0)</f>
        <v>16500</v>
      </c>
      <c r="Q41" s="1"/>
      <c r="R41" s="5">
        <f t="shared" si="20"/>
        <v>0</v>
      </c>
      <c r="S41" s="1"/>
      <c r="T41" s="1">
        <f>SUM(OSRRefT22_7x_0)</f>
        <v>9650</v>
      </c>
      <c r="U41" s="1"/>
      <c r="V41" s="5">
        <f t="shared" si="21"/>
        <v>0</v>
      </c>
      <c r="W41" s="1"/>
      <c r="X41" s="1">
        <f t="shared" si="22"/>
        <v>6850</v>
      </c>
      <c r="Y41" s="1"/>
      <c r="Z41" s="5">
        <f t="shared" si="23"/>
        <v>0.7098445595854922</v>
      </c>
    </row>
    <row r="42" spans="1:26" s="24" customFormat="1" hidden="1" outlineLevel="2" x14ac:dyDescent="0.25">
      <c r="A42" s="28"/>
      <c r="B42" s="11" t="str">
        <f>CONCATENATE("          ", "6331", " - ", "INDIRECT COSTS-AUXILIARY ORGAN")</f>
        <v xml:space="preserve">          6331 - INDIRECT COSTS-AUXILIARY ORGAN</v>
      </c>
      <c r="C42" s="11"/>
      <c r="D42" s="7">
        <v>16500</v>
      </c>
      <c r="E42" s="2"/>
      <c r="F42" s="6">
        <f t="shared" si="16"/>
        <v>0</v>
      </c>
      <c r="G42" s="2"/>
      <c r="H42" s="7">
        <v>8500</v>
      </c>
      <c r="I42" s="2"/>
      <c r="J42" s="6">
        <f t="shared" si="17"/>
        <v>0</v>
      </c>
      <c r="K42" s="2"/>
      <c r="L42" s="7">
        <f t="shared" si="18"/>
        <v>8000</v>
      </c>
      <c r="M42" s="2"/>
      <c r="N42" s="6">
        <f t="shared" si="19"/>
        <v>0.94117647058823528</v>
      </c>
      <c r="O42" s="11"/>
      <c r="P42" s="7">
        <v>16500</v>
      </c>
      <c r="Q42" s="2"/>
      <c r="R42" s="6">
        <f t="shared" si="20"/>
        <v>0</v>
      </c>
      <c r="S42" s="2"/>
      <c r="T42" s="7">
        <v>8500</v>
      </c>
      <c r="U42" s="2"/>
      <c r="V42" s="6">
        <f t="shared" si="21"/>
        <v>0</v>
      </c>
      <c r="W42" s="2"/>
      <c r="X42" s="7">
        <f t="shared" si="22"/>
        <v>8000</v>
      </c>
      <c r="Y42" s="2"/>
      <c r="Z42" s="6">
        <f t="shared" si="23"/>
        <v>0.94117647058823528</v>
      </c>
    </row>
    <row r="43" spans="1:26" s="24" customFormat="1" hidden="1" outlineLevel="2" x14ac:dyDescent="0.25">
      <c r="A43" s="28"/>
      <c r="B43" s="11" t="str">
        <f>CONCATENATE("          ", "6334", " - ", "LEGAL COUNCIL EXPENSE")</f>
        <v xml:space="preserve">          6334 - LEGAL COUNCIL EXPENSE</v>
      </c>
      <c r="C43" s="11"/>
      <c r="D43" s="7"/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/>
      <c r="Q43" s="2"/>
      <c r="R43" s="6">
        <f t="shared" si="20"/>
        <v>0</v>
      </c>
      <c r="S43" s="2"/>
      <c r="T43" s="7">
        <v>1150</v>
      </c>
      <c r="U43" s="2"/>
      <c r="V43" s="6">
        <f t="shared" si="21"/>
        <v>0</v>
      </c>
      <c r="W43" s="2"/>
      <c r="X43" s="7">
        <f t="shared" si="22"/>
        <v>-1150</v>
      </c>
      <c r="Y43" s="2"/>
      <c r="Z43" s="6">
        <f t="shared" si="23"/>
        <v>-1</v>
      </c>
    </row>
    <row r="44" spans="1:26" s="27" customFormat="1" outlineLevel="1" collapsed="1" x14ac:dyDescent="0.25">
      <c r="A44" s="29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SUM(OSRRefD22_8x_0)</f>
        <v>50</v>
      </c>
      <c r="E44" s="1"/>
      <c r="F44" s="5">
        <f t="shared" ref="F44:F46" si="24">IF(D$12=0,0,D44/D$12)</f>
        <v>0</v>
      </c>
      <c r="G44" s="1"/>
      <c r="H44" s="1">
        <f>SUM(OSRRefH22_8x_0)</f>
        <v>1484.15</v>
      </c>
      <c r="I44" s="1"/>
      <c r="J44" s="5">
        <f t="shared" ref="J44:J46" si="25">IF(H$12=0,0,H44/H$12)</f>
        <v>0</v>
      </c>
      <c r="K44" s="1"/>
      <c r="L44" s="1">
        <f t="shared" ref="L44:L46" si="26">+D44-H44</f>
        <v>-1434.15</v>
      </c>
      <c r="M44" s="1"/>
      <c r="N44" s="5">
        <f t="shared" ref="N44:N46" si="27">IF(H44=0,0,L44/H44)</f>
        <v>-0.96631068288245803</v>
      </c>
      <c r="O44" s="14"/>
      <c r="P44" s="1">
        <f>SUM(OSRRefP22_8x_0)</f>
        <v>5305.17</v>
      </c>
      <c r="Q44" s="1"/>
      <c r="R44" s="5">
        <f t="shared" ref="R44:R46" si="28">IF(P$12=0,0,P44/P$12)</f>
        <v>0</v>
      </c>
      <c r="S44" s="1"/>
      <c r="T44" s="1">
        <f>SUM(OSRRefT22_8x_0)</f>
        <v>6636.88</v>
      </c>
      <c r="U44" s="1"/>
      <c r="V44" s="5">
        <f t="shared" ref="V44:V46" si="29">IF(T$12=0,0,T44/T$12)</f>
        <v>0</v>
      </c>
      <c r="W44" s="1"/>
      <c r="X44" s="1">
        <f t="shared" ref="X44:X46" si="30">+P44-T44</f>
        <v>-1331.71</v>
      </c>
      <c r="Y44" s="1"/>
      <c r="Z44" s="5">
        <f t="shared" ref="Z44:Z46" si="31">IF(T44=0,0,X44/T44)</f>
        <v>-0.20065301768300767</v>
      </c>
    </row>
    <row r="45" spans="1:26" s="24" customFormat="1" hidden="1" outlineLevel="2" x14ac:dyDescent="0.25">
      <c r="A45" s="28"/>
      <c r="B45" s="11" t="str">
        <f>CONCATENATE("          ", "6373", " - ", "MAINTENANCE CONTRACTS")</f>
        <v xml:space="preserve">          6373 - MAINTENANCE CONTRACTS</v>
      </c>
      <c r="C45" s="11"/>
      <c r="D45" s="7">
        <v>50</v>
      </c>
      <c r="E45" s="2"/>
      <c r="F45" s="6">
        <f t="shared" si="24"/>
        <v>0</v>
      </c>
      <c r="G45" s="2"/>
      <c r="H45" s="7">
        <v>1484.15</v>
      </c>
      <c r="I45" s="2"/>
      <c r="J45" s="6">
        <f t="shared" si="25"/>
        <v>0</v>
      </c>
      <c r="K45" s="2"/>
      <c r="L45" s="7">
        <f t="shared" si="26"/>
        <v>-1434.15</v>
      </c>
      <c r="M45" s="2"/>
      <c r="N45" s="6">
        <f t="shared" si="27"/>
        <v>-0.96631068288245803</v>
      </c>
      <c r="O45" s="11"/>
      <c r="P45" s="7">
        <v>5207.18</v>
      </c>
      <c r="Q45" s="2"/>
      <c r="R45" s="6">
        <f t="shared" si="28"/>
        <v>0</v>
      </c>
      <c r="S45" s="2"/>
      <c r="T45" s="7">
        <v>6636.88</v>
      </c>
      <c r="U45" s="2"/>
      <c r="V45" s="6">
        <f t="shared" si="29"/>
        <v>0</v>
      </c>
      <c r="W45" s="2"/>
      <c r="X45" s="7">
        <f t="shared" si="30"/>
        <v>-1429.6999999999998</v>
      </c>
      <c r="Y45" s="2"/>
      <c r="Z45" s="6">
        <f t="shared" si="31"/>
        <v>-0.21541748532442953</v>
      </c>
    </row>
    <row r="46" spans="1:26" s="24" customFormat="1" hidden="1" outlineLevel="2" x14ac:dyDescent="0.25">
      <c r="A46" s="28"/>
      <c r="B46" s="11" t="str">
        <f>CONCATENATE("          ", "6375", " - ", "OUTSIDE REPAIRS &amp; MAINTENANCE")</f>
        <v xml:space="preserve">          6375 - OUTSIDE REPAIRS &amp; MAINTENANCE</v>
      </c>
      <c r="C46" s="11"/>
      <c r="D46" s="7"/>
      <c r="E46" s="2"/>
      <c r="F46" s="6">
        <f t="shared" si="24"/>
        <v>0</v>
      </c>
      <c r="G46" s="2"/>
      <c r="H46" s="7"/>
      <c r="I46" s="2"/>
      <c r="J46" s="6">
        <f t="shared" si="25"/>
        <v>0</v>
      </c>
      <c r="K46" s="2"/>
      <c r="L46" s="7">
        <f t="shared" si="26"/>
        <v>0</v>
      </c>
      <c r="M46" s="2"/>
      <c r="N46" s="6">
        <f t="shared" si="27"/>
        <v>0</v>
      </c>
      <c r="O46" s="11"/>
      <c r="P46" s="7">
        <v>97.99</v>
      </c>
      <c r="Q46" s="2"/>
      <c r="R46" s="6">
        <f t="shared" si="28"/>
        <v>0</v>
      </c>
      <c r="S46" s="2"/>
      <c r="T46" s="7"/>
      <c r="U46" s="2"/>
      <c r="V46" s="6">
        <f t="shared" si="29"/>
        <v>0</v>
      </c>
      <c r="W46" s="2"/>
      <c r="X46" s="7">
        <f t="shared" si="30"/>
        <v>97.99</v>
      </c>
      <c r="Y46" s="2"/>
      <c r="Z46" s="6">
        <f t="shared" si="31"/>
        <v>0</v>
      </c>
    </row>
    <row r="47" spans="1:26" s="27" customFormat="1" outlineLevel="1" collapsed="1" x14ac:dyDescent="0.25">
      <c r="A47" s="29"/>
      <c r="B47" s="14" t="str">
        <f>CONCATENATE("     ","Subscriptions &amp; Dues                              ")</f>
        <v xml:space="preserve">     Subscriptions &amp; Dues                              </v>
      </c>
      <c r="C47" s="14"/>
      <c r="D47" s="1">
        <f>SUM(OSRRefD22_9x_0)</f>
        <v>0</v>
      </c>
      <c r="E47" s="1"/>
      <c r="F47" s="5">
        <f t="shared" ref="F47:F51" si="32">IF(D$12=0,0,D47/D$12)</f>
        <v>0</v>
      </c>
      <c r="G47" s="1"/>
      <c r="H47" s="1">
        <f>SUM(OSRRefH22_9x_0)</f>
        <v>0</v>
      </c>
      <c r="I47" s="1"/>
      <c r="J47" s="5">
        <f t="shared" ref="J47:J51" si="33">IF(H$12=0,0,H47/H$12)</f>
        <v>0</v>
      </c>
      <c r="K47" s="1"/>
      <c r="L47" s="1">
        <f t="shared" ref="L47:L51" si="34">+D47-H47</f>
        <v>0</v>
      </c>
      <c r="M47" s="1"/>
      <c r="N47" s="5">
        <f t="shared" ref="N47:N51" si="35">IF(H47=0,0,L47/H47)</f>
        <v>0</v>
      </c>
      <c r="O47" s="14"/>
      <c r="P47" s="1">
        <f>SUM(OSRRefP22_9x_0)</f>
        <v>1000</v>
      </c>
      <c r="Q47" s="1"/>
      <c r="R47" s="5">
        <f t="shared" ref="R47:R51" si="36">IF(P$12=0,0,P47/P$12)</f>
        <v>0</v>
      </c>
      <c r="S47" s="1"/>
      <c r="T47" s="1">
        <f>SUM(OSRRefT22_9x_0)</f>
        <v>1725</v>
      </c>
      <c r="U47" s="1"/>
      <c r="V47" s="5">
        <f t="shared" ref="V47:V51" si="37">IF(T$12=0,0,T47/T$12)</f>
        <v>0</v>
      </c>
      <c r="W47" s="1"/>
      <c r="X47" s="1">
        <f t="shared" ref="X47:X51" si="38">+P47-T47</f>
        <v>-725</v>
      </c>
      <c r="Y47" s="1"/>
      <c r="Z47" s="5">
        <f t="shared" ref="Z47:Z51" si="39">IF(T47=0,0,X47/T47)</f>
        <v>-0.42028985507246375</v>
      </c>
    </row>
    <row r="48" spans="1:26" s="24" customFormat="1" hidden="1" outlineLevel="2" x14ac:dyDescent="0.25">
      <c r="A48" s="28"/>
      <c r="B48" s="11" t="str">
        <f>CONCATENATE("          ", "6258", " - ", "MEMBERSHIP DUES")</f>
        <v xml:space="preserve">          6258 - MEMBERSHIP DUES</v>
      </c>
      <c r="C48" s="11"/>
      <c r="D48" s="7"/>
      <c r="E48" s="2"/>
      <c r="F48" s="6">
        <f t="shared" si="32"/>
        <v>0</v>
      </c>
      <c r="G48" s="2"/>
      <c r="H48" s="7"/>
      <c r="I48" s="2"/>
      <c r="J48" s="6">
        <f t="shared" si="33"/>
        <v>0</v>
      </c>
      <c r="K48" s="2"/>
      <c r="L48" s="7">
        <f t="shared" si="34"/>
        <v>0</v>
      </c>
      <c r="M48" s="2"/>
      <c r="N48" s="6">
        <f t="shared" si="35"/>
        <v>0</v>
      </c>
      <c r="O48" s="11"/>
      <c r="P48" s="7">
        <v>1000</v>
      </c>
      <c r="Q48" s="2"/>
      <c r="R48" s="6">
        <f t="shared" si="36"/>
        <v>0</v>
      </c>
      <c r="S48" s="2"/>
      <c r="T48" s="7">
        <v>1725</v>
      </c>
      <c r="U48" s="2"/>
      <c r="V48" s="6">
        <f t="shared" si="37"/>
        <v>0</v>
      </c>
      <c r="W48" s="2"/>
      <c r="X48" s="7">
        <f t="shared" si="38"/>
        <v>-725</v>
      </c>
      <c r="Y48" s="2"/>
      <c r="Z48" s="6">
        <f t="shared" si="39"/>
        <v>-0.42028985507246375</v>
      </c>
    </row>
    <row r="49" spans="1:26" s="27" customFormat="1" outlineLevel="1" collapsed="1" x14ac:dyDescent="0.25">
      <c r="A49" s="29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SUM(OSRRefD22_10x_0)</f>
        <v>0</v>
      </c>
      <c r="E49" s="1"/>
      <c r="F49" s="5">
        <f t="shared" si="32"/>
        <v>0</v>
      </c>
      <c r="G49" s="1"/>
      <c r="H49" s="1">
        <f>SUM(OSRRefH22_10x_0)</f>
        <v>154.93</v>
      </c>
      <c r="I49" s="1"/>
      <c r="J49" s="5">
        <f t="shared" si="33"/>
        <v>0</v>
      </c>
      <c r="K49" s="1"/>
      <c r="L49" s="1">
        <f t="shared" si="34"/>
        <v>-154.93</v>
      </c>
      <c r="M49" s="1"/>
      <c r="N49" s="5">
        <f t="shared" si="35"/>
        <v>-1</v>
      </c>
      <c r="O49" s="14"/>
      <c r="P49" s="1">
        <f>SUM(OSRRefP22_10x_0)</f>
        <v>25.89</v>
      </c>
      <c r="Q49" s="1"/>
      <c r="R49" s="5">
        <f t="shared" si="36"/>
        <v>0</v>
      </c>
      <c r="S49" s="1"/>
      <c r="T49" s="1">
        <f>SUM(OSRRefT22_10x_0)</f>
        <v>286.94</v>
      </c>
      <c r="U49" s="1"/>
      <c r="V49" s="5">
        <f t="shared" si="37"/>
        <v>0</v>
      </c>
      <c r="W49" s="1"/>
      <c r="X49" s="1">
        <f t="shared" si="38"/>
        <v>-261.05</v>
      </c>
      <c r="Y49" s="1"/>
      <c r="Z49" s="5">
        <f t="shared" si="39"/>
        <v>-0.90977207778629687</v>
      </c>
    </row>
    <row r="50" spans="1:26" s="24" customFormat="1" hidden="1" outlineLevel="2" x14ac:dyDescent="0.25">
      <c r="A50" s="28"/>
      <c r="B50" s="11" t="str">
        <f>CONCATENATE("          ", "6235", " - ", "COVID-19 EXPENSES")</f>
        <v xml:space="preserve">          6235 - COVID-19 EXPENSES</v>
      </c>
      <c r="C50" s="11"/>
      <c r="D50" s="7"/>
      <c r="E50" s="2"/>
      <c r="F50" s="6">
        <f t="shared" si="32"/>
        <v>0</v>
      </c>
      <c r="G50" s="2"/>
      <c r="H50" s="7"/>
      <c r="I50" s="2"/>
      <c r="J50" s="6">
        <f t="shared" si="33"/>
        <v>0</v>
      </c>
      <c r="K50" s="2"/>
      <c r="L50" s="7">
        <f t="shared" si="34"/>
        <v>0</v>
      </c>
      <c r="M50" s="2"/>
      <c r="N50" s="6">
        <f t="shared" si="35"/>
        <v>0</v>
      </c>
      <c r="O50" s="11"/>
      <c r="P50" s="7"/>
      <c r="Q50" s="2"/>
      <c r="R50" s="6">
        <f t="shared" si="36"/>
        <v>0</v>
      </c>
      <c r="S50" s="2"/>
      <c r="T50" s="7">
        <v>106.94</v>
      </c>
      <c r="U50" s="2"/>
      <c r="V50" s="6">
        <f t="shared" si="37"/>
        <v>0</v>
      </c>
      <c r="W50" s="2"/>
      <c r="X50" s="7">
        <f t="shared" si="38"/>
        <v>-106.94</v>
      </c>
      <c r="Y50" s="2"/>
      <c r="Z50" s="6">
        <f t="shared" si="39"/>
        <v>-1</v>
      </c>
    </row>
    <row r="51" spans="1:26" s="24" customFormat="1" hidden="1" outlineLevel="2" x14ac:dyDescent="0.25">
      <c r="A51" s="28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32"/>
        <v>0</v>
      </c>
      <c r="G51" s="2"/>
      <c r="H51" s="7">
        <v>154.93</v>
      </c>
      <c r="I51" s="2"/>
      <c r="J51" s="6">
        <f t="shared" si="33"/>
        <v>0</v>
      </c>
      <c r="K51" s="2"/>
      <c r="L51" s="7">
        <f t="shared" si="34"/>
        <v>-154.93</v>
      </c>
      <c r="M51" s="2"/>
      <c r="N51" s="6">
        <f t="shared" si="35"/>
        <v>-1</v>
      </c>
      <c r="O51" s="11"/>
      <c r="P51" s="7">
        <v>25.89</v>
      </c>
      <c r="Q51" s="2"/>
      <c r="R51" s="6">
        <f t="shared" si="36"/>
        <v>0</v>
      </c>
      <c r="S51" s="2"/>
      <c r="T51" s="7">
        <v>180</v>
      </c>
      <c r="U51" s="2"/>
      <c r="V51" s="6">
        <f t="shared" si="37"/>
        <v>0</v>
      </c>
      <c r="W51" s="2"/>
      <c r="X51" s="7">
        <f t="shared" si="38"/>
        <v>-154.11000000000001</v>
      </c>
      <c r="Y51" s="2"/>
      <c r="Z51" s="6">
        <f t="shared" si="39"/>
        <v>-0.85616666666666674</v>
      </c>
    </row>
    <row r="52" spans="1:26" s="27" customFormat="1" outlineLevel="1" collapsed="1" x14ac:dyDescent="0.25">
      <c r="A52" s="29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SUM(OSRRefD22_11x_0)</f>
        <v>428.03</v>
      </c>
      <c r="E52" s="1"/>
      <c r="F52" s="5">
        <f t="shared" ref="F52:F53" si="40">IF(D$12=0,0,D52/D$12)</f>
        <v>0</v>
      </c>
      <c r="G52" s="1"/>
      <c r="H52" s="1">
        <f>SUM(OSRRefH22_11x_0)</f>
        <v>460.64</v>
      </c>
      <c r="I52" s="1"/>
      <c r="J52" s="5">
        <f t="shared" ref="J52:J53" si="41">IF(H$12=0,0,H52/H$12)</f>
        <v>0</v>
      </c>
      <c r="K52" s="1"/>
      <c r="L52" s="1">
        <f t="shared" ref="L52:L53" si="42">+D52-H52</f>
        <v>-32.610000000000014</v>
      </c>
      <c r="M52" s="1"/>
      <c r="N52" s="5">
        <f t="shared" ref="N52:N53" si="43">IF(H52=0,0,L52/H52)</f>
        <v>-7.0792810003473455E-2</v>
      </c>
      <c r="O52" s="14"/>
      <c r="P52" s="1">
        <f>SUM(OSRRefP22_11x_0)</f>
        <v>1358.19</v>
      </c>
      <c r="Q52" s="1"/>
      <c r="R52" s="5">
        <f t="shared" ref="R52:R53" si="44">IF(P$12=0,0,P52/P$12)</f>
        <v>0</v>
      </c>
      <c r="S52" s="1"/>
      <c r="T52" s="1">
        <f>SUM(OSRRefT22_11x_0)</f>
        <v>1068.06</v>
      </c>
      <c r="U52" s="1"/>
      <c r="V52" s="5">
        <f t="shared" ref="V52:V53" si="45">IF(T$12=0,0,T52/T$12)</f>
        <v>0</v>
      </c>
      <c r="W52" s="1"/>
      <c r="X52" s="1">
        <f t="shared" ref="X52:X53" si="46">+P52-T52</f>
        <v>290.13000000000011</v>
      </c>
      <c r="Y52" s="1"/>
      <c r="Z52" s="5">
        <f t="shared" ref="Z52:Z53" si="47">IF(T52=0,0,X52/T52)</f>
        <v>0.27164204258187752</v>
      </c>
    </row>
    <row r="53" spans="1:26" s="24" customFormat="1" hidden="1" outlineLevel="2" x14ac:dyDescent="0.25">
      <c r="A53" s="28"/>
      <c r="B53" s="11" t="str">
        <f>CONCATENATE("          ", "6309", " - ", "TELEPHONE")</f>
        <v xml:space="preserve">          6309 - TELEPHONE</v>
      </c>
      <c r="C53" s="11"/>
      <c r="D53" s="7">
        <v>428.03</v>
      </c>
      <c r="E53" s="2"/>
      <c r="F53" s="6">
        <f t="shared" si="40"/>
        <v>0</v>
      </c>
      <c r="G53" s="2"/>
      <c r="H53" s="7">
        <v>460.64</v>
      </c>
      <c r="I53" s="2"/>
      <c r="J53" s="6">
        <f t="shared" si="41"/>
        <v>0</v>
      </c>
      <c r="K53" s="2"/>
      <c r="L53" s="7">
        <f t="shared" si="42"/>
        <v>-32.610000000000014</v>
      </c>
      <c r="M53" s="2"/>
      <c r="N53" s="6">
        <f t="shared" si="43"/>
        <v>-7.0792810003473455E-2</v>
      </c>
      <c r="O53" s="11"/>
      <c r="P53" s="7">
        <v>1358.19</v>
      </c>
      <c r="Q53" s="2"/>
      <c r="R53" s="6">
        <f t="shared" si="44"/>
        <v>0</v>
      </c>
      <c r="S53" s="2"/>
      <c r="T53" s="7">
        <v>1068.06</v>
      </c>
      <c r="U53" s="2"/>
      <c r="V53" s="6">
        <f t="shared" si="45"/>
        <v>0</v>
      </c>
      <c r="W53" s="2"/>
      <c r="X53" s="7">
        <f t="shared" si="46"/>
        <v>290.13000000000011</v>
      </c>
      <c r="Y53" s="2"/>
      <c r="Z53" s="6">
        <f t="shared" si="47"/>
        <v>0.27164204258187752</v>
      </c>
    </row>
    <row r="54" spans="1:26" s="54" customFormat="1" x14ac:dyDescent="0.25">
      <c r="A54" s="37"/>
      <c r="B54" s="37"/>
      <c r="C54" s="37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6" t="s">
        <v>292</v>
      </c>
      <c r="C55" s="10"/>
      <c r="D55" s="4">
        <f>SUM(0)</f>
        <v>0</v>
      </c>
      <c r="E55" s="4"/>
      <c r="F55" s="12">
        <f>IF(D$12=0,0,D55/D$12)</f>
        <v>0</v>
      </c>
      <c r="G55" s="4"/>
      <c r="H55" s="4">
        <f>SUM(0)</f>
        <v>0</v>
      </c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>
        <f>SUM(0)</f>
        <v>0</v>
      </c>
      <c r="Q55" s="4"/>
      <c r="R55" s="12">
        <f>IF(P$12=0,0,P55/P$12)</f>
        <v>0</v>
      </c>
      <c r="S55" s="4"/>
      <c r="T55" s="4">
        <f>SUM(0)</f>
        <v>0</v>
      </c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5" t="s">
        <v>276</v>
      </c>
      <c r="C57" s="25"/>
      <c r="D57" s="21">
        <f>+D16-D18+D55</f>
        <v>-43782.289999999994</v>
      </c>
      <c r="E57" s="13"/>
      <c r="F57" s="22">
        <f>IF(D$12=0,0,D57/D$12)</f>
        <v>0</v>
      </c>
      <c r="G57" s="13"/>
      <c r="H57" s="21">
        <f>+H16-H18+H55</f>
        <v>-40329.99</v>
      </c>
      <c r="I57" s="13"/>
      <c r="J57" s="22">
        <f>IF(H$12=0,0,H57/H$12)</f>
        <v>0</v>
      </c>
      <c r="K57" s="16"/>
      <c r="L57" s="21">
        <f>+D57-H57</f>
        <v>-3452.2999999999956</v>
      </c>
      <c r="M57" s="16"/>
      <c r="N57" s="22">
        <f>IF(H57=0,0,L57/H57)</f>
        <v>8.5601310587976737E-2</v>
      </c>
      <c r="O57" s="26"/>
      <c r="P57" s="21">
        <f>+P16-P18+P55</f>
        <v>-108138.82</v>
      </c>
      <c r="Q57" s="13"/>
      <c r="R57" s="22">
        <f>IF(P$12=0,0,P57/P$12)</f>
        <v>0</v>
      </c>
      <c r="S57" s="13"/>
      <c r="T57" s="21">
        <f>+T16-T18+T55</f>
        <v>-107256.26000000002</v>
      </c>
      <c r="U57" s="13"/>
      <c r="V57" s="22">
        <f>IF(T$12=0,0,T57/T$12)</f>
        <v>0</v>
      </c>
      <c r="W57" s="16"/>
      <c r="X57" s="21">
        <f>+P57-T57</f>
        <v>-882.55999999998312</v>
      </c>
      <c r="Y57" s="16"/>
      <c r="Z57" s="22">
        <f>IF(T57=0,0,X57/T57)</f>
        <v>8.2285173844396861E-3</v>
      </c>
    </row>
    <row r="58" spans="1:26" x14ac:dyDescent="0.25">
      <c r="A58" s="9"/>
      <c r="B58" s="10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51"/>
      <c r="B59" s="10" t="s">
        <v>127</v>
      </c>
      <c r="C59" s="10"/>
      <c r="D59" s="4"/>
      <c r="E59" s="4"/>
      <c r="F59" s="12">
        <f>IF(D$12=0,0,D59/D$12)</f>
        <v>0</v>
      </c>
      <c r="G59" s="4"/>
      <c r="H59" s="4"/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/>
      <c r="Q59" s="4"/>
      <c r="R59" s="12">
        <f>IF(P$12=0,0,P59/P$12)</f>
        <v>0</v>
      </c>
      <c r="S59" s="4"/>
      <c r="T59" s="4"/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5" t="s">
        <v>125</v>
      </c>
      <c r="C61" s="25"/>
      <c r="D61" s="33">
        <f>+D57-D59</f>
        <v>-43782.289999999994</v>
      </c>
      <c r="E61" s="13"/>
      <c r="F61" s="35">
        <f>IF(D$12=0,0,D61/D$12)</f>
        <v>0</v>
      </c>
      <c r="G61" s="13"/>
      <c r="H61" s="33">
        <f>+H57-H59</f>
        <v>-40329.99</v>
      </c>
      <c r="I61" s="13"/>
      <c r="J61" s="35">
        <f>IF(H$12=0,0,H61/H$12)</f>
        <v>0</v>
      </c>
      <c r="K61" s="16"/>
      <c r="L61" s="33">
        <f>D61-H61</f>
        <v>-3452.2999999999956</v>
      </c>
      <c r="M61" s="16"/>
      <c r="N61" s="35">
        <f>IF(H61=0,0,L61/H61)</f>
        <v>8.5601310587976737E-2</v>
      </c>
      <c r="O61" s="26"/>
      <c r="P61" s="33">
        <f>+P57-P59</f>
        <v>-108138.82</v>
      </c>
      <c r="Q61" s="13"/>
      <c r="R61" s="35">
        <f>IF(P$12=0,0,P61/P$12)</f>
        <v>0</v>
      </c>
      <c r="S61" s="13"/>
      <c r="T61" s="33">
        <f>+T57-T59</f>
        <v>-107256.26000000002</v>
      </c>
      <c r="U61" s="13"/>
      <c r="V61" s="35">
        <f>IF(T$12=0,0,T61/T$12)</f>
        <v>0</v>
      </c>
      <c r="W61" s="16"/>
      <c r="X61" s="33">
        <f>P61-T61</f>
        <v>-882.55999999998312</v>
      </c>
      <c r="Y61" s="16"/>
      <c r="Z61" s="35">
        <f>IF(T61=0,0,X61/T61)</f>
        <v>8.2285173844396861E-3</v>
      </c>
    </row>
    <row r="62" spans="1:26" ht="15.75" thickTop="1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5" t="s">
        <v>293</v>
      </c>
      <c r="C64" s="25"/>
      <c r="D64" s="31">
        <f>SUM(D61:D63)</f>
        <v>-43782.289999999994</v>
      </c>
      <c r="E64" s="13"/>
      <c r="F64" s="32">
        <f>IF(D$12=0,0,D64/D$12)</f>
        <v>0</v>
      </c>
      <c r="G64" s="13"/>
      <c r="H64" s="31">
        <f>SUM(H61:H63)</f>
        <v>-40329.99</v>
      </c>
      <c r="I64" s="13"/>
      <c r="J64" s="32">
        <f>IF(H$12=0,0,H64/H$12)</f>
        <v>0</v>
      </c>
      <c r="K64" s="16"/>
      <c r="L64" s="31">
        <f>+D64-H64</f>
        <v>-3452.2999999999956</v>
      </c>
      <c r="M64" s="16"/>
      <c r="N64" s="32">
        <f>IF(H64=0,0,L64/H64)</f>
        <v>8.5601310587976737E-2</v>
      </c>
      <c r="O64" s="26"/>
      <c r="P64" s="31">
        <f>SUM(P61:P63)</f>
        <v>-108138.82</v>
      </c>
      <c r="Q64" s="13"/>
      <c r="R64" s="32">
        <f>IF(P$12=0,0,P64/P$12)</f>
        <v>0</v>
      </c>
      <c r="S64" s="13"/>
      <c r="T64" s="31">
        <f>SUM(T61:T63)</f>
        <v>-107256.26000000002</v>
      </c>
      <c r="U64" s="13"/>
      <c r="V64" s="32">
        <f>IF(T$12=0,0,T64/T$12)</f>
        <v>0</v>
      </c>
      <c r="W64" s="16"/>
      <c r="X64" s="31">
        <f>+P64-T64</f>
        <v>-882.55999999998312</v>
      </c>
      <c r="Y64" s="16"/>
      <c r="Z64" s="32">
        <f>IF(T64=0,0,X64/T64)</f>
        <v>8.2285173844396861E-3</v>
      </c>
    </row>
    <row r="65" spans="1:24" ht="15.75" thickTop="1" x14ac:dyDescent="0.25">
      <c r="A65" s="9"/>
      <c r="C65" s="9"/>
      <c r="D65" s="18"/>
      <c r="E65" s="18"/>
      <c r="G65" s="18"/>
      <c r="H65" s="18"/>
      <c r="I65" s="18"/>
      <c r="J65" s="42"/>
      <c r="K65" s="18"/>
      <c r="L65" s="18"/>
      <c r="M65" s="18"/>
      <c r="P65" s="18"/>
      <c r="Q65" s="18"/>
      <c r="R65" s="42"/>
      <c r="S65" s="18"/>
      <c r="T65" s="18"/>
      <c r="U65" s="18"/>
      <c r="V65" s="42"/>
      <c r="W65" s="18"/>
      <c r="X65" s="18"/>
    </row>
    <row r="66" spans="1:24" x14ac:dyDescent="0.25">
      <c r="A66" s="9"/>
      <c r="B66" s="58">
        <v>44481.985668518515</v>
      </c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4" x14ac:dyDescent="0.25">
      <c r="A67" s="9"/>
      <c r="B67" s="53" t="s">
        <v>56</v>
      </c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4" x14ac:dyDescent="0.25">
      <c r="A68" s="9"/>
      <c r="B68" s="52"/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4" x14ac:dyDescent="0.25"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","202", " - ", "Accounting")</f>
        <v>Department 202 - Accounting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37567.949999999997</v>
      </c>
      <c r="E18" s="20"/>
      <c r="F18" s="30">
        <f t="shared" ref="F18:F27" si="0">IF(D$12=0,0,D18/D$12)</f>
        <v>0</v>
      </c>
      <c r="G18" s="20"/>
      <c r="H18" s="20">
        <f>SUM(OSRRefH22x_0)</f>
        <v>36054.399999999994</v>
      </c>
      <c r="I18" s="20"/>
      <c r="J18" s="30">
        <f t="shared" ref="J18:J27" si="1">IF(H$12=0,0,H18/H$12)</f>
        <v>0</v>
      </c>
      <c r="K18" s="4"/>
      <c r="L18" s="20">
        <f t="shared" ref="L18:L27" si="2">+D18-H18</f>
        <v>1513.5500000000029</v>
      </c>
      <c r="M18" s="4"/>
      <c r="N18" s="30">
        <f t="shared" ref="N18:N27" si="3">IF(H18=0,0,L18/H18)</f>
        <v>4.1979619685808198E-2</v>
      </c>
      <c r="O18" s="10"/>
      <c r="P18" s="20">
        <f>SUM(OSRRefP22x_0)</f>
        <v>119859.4</v>
      </c>
      <c r="Q18" s="20"/>
      <c r="R18" s="30">
        <f t="shared" ref="R18:R27" si="4">IF(P$12=0,0,P18/P$12)</f>
        <v>0</v>
      </c>
      <c r="S18" s="20"/>
      <c r="T18" s="20">
        <f>SUM(OSRRefT22x_0)</f>
        <v>110046.29000000002</v>
      </c>
      <c r="U18" s="20"/>
      <c r="V18" s="30">
        <f t="shared" ref="V18:V27" si="5">IF(T$12=0,0,T18/T$12)</f>
        <v>0</v>
      </c>
      <c r="W18" s="4"/>
      <c r="X18" s="20">
        <f t="shared" ref="X18:X27" si="6">+P18-T18</f>
        <v>9813.1099999999715</v>
      </c>
      <c r="Y18" s="4"/>
      <c r="Z18" s="30">
        <f t="shared" ref="Z18:Z27" si="7">IF(T18=0,0,X18/T18)</f>
        <v>8.917256547222055E-2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12831.35</v>
      </c>
      <c r="E19" s="1"/>
      <c r="F19" s="5">
        <f t="shared" si="0"/>
        <v>0</v>
      </c>
      <c r="G19" s="1"/>
      <c r="H19" s="1">
        <f>SUM(OSRRefH22_0x_0)</f>
        <v>12249.43</v>
      </c>
      <c r="I19" s="1"/>
      <c r="J19" s="5">
        <f t="shared" si="1"/>
        <v>0</v>
      </c>
      <c r="K19" s="1"/>
      <c r="L19" s="1">
        <f t="shared" si="2"/>
        <v>581.92000000000007</v>
      </c>
      <c r="M19" s="1"/>
      <c r="N19" s="5">
        <f t="shared" si="3"/>
        <v>4.7505883947253059E-2</v>
      </c>
      <c r="O19" s="14"/>
      <c r="P19" s="1">
        <f>SUM(OSRRefP22_0x_0)</f>
        <v>38509.550000000003</v>
      </c>
      <c r="Q19" s="1"/>
      <c r="R19" s="5">
        <f t="shared" si="4"/>
        <v>0</v>
      </c>
      <c r="S19" s="1"/>
      <c r="T19" s="1">
        <f>SUM(OSRRefT22_0x_0)</f>
        <v>37497.020000000004</v>
      </c>
      <c r="U19" s="1"/>
      <c r="V19" s="5">
        <f t="shared" si="5"/>
        <v>0</v>
      </c>
      <c r="W19" s="1"/>
      <c r="X19" s="1">
        <f t="shared" si="6"/>
        <v>1012.5299999999988</v>
      </c>
      <c r="Y19" s="1"/>
      <c r="Z19" s="5">
        <f t="shared" si="7"/>
        <v>2.7002945834095581E-2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1630.16</v>
      </c>
      <c r="E20" s="2"/>
      <c r="F20" s="6">
        <f t="shared" si="0"/>
        <v>0</v>
      </c>
      <c r="G20" s="2"/>
      <c r="H20" s="7">
        <v>1635.95</v>
      </c>
      <c r="I20" s="2"/>
      <c r="J20" s="6">
        <f t="shared" si="1"/>
        <v>0</v>
      </c>
      <c r="K20" s="2"/>
      <c r="L20" s="7">
        <f t="shared" si="2"/>
        <v>-5.7899999999999636</v>
      </c>
      <c r="M20" s="2"/>
      <c r="N20" s="6">
        <f t="shared" si="3"/>
        <v>-3.5392279715149993E-3</v>
      </c>
      <c r="O20" s="11"/>
      <c r="P20" s="7">
        <v>4884.68</v>
      </c>
      <c r="Q20" s="2"/>
      <c r="R20" s="6">
        <f t="shared" si="4"/>
        <v>0</v>
      </c>
      <c r="S20" s="2"/>
      <c r="T20" s="7">
        <v>4883.07</v>
      </c>
      <c r="U20" s="2"/>
      <c r="V20" s="6">
        <f t="shared" si="5"/>
        <v>0</v>
      </c>
      <c r="W20" s="2"/>
      <c r="X20" s="7">
        <f t="shared" si="6"/>
        <v>1.6100000000005821</v>
      </c>
      <c r="Y20" s="2"/>
      <c r="Z20" s="6">
        <f t="shared" si="7"/>
        <v>3.2971061238126472E-4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286.45</v>
      </c>
      <c r="E21" s="2"/>
      <c r="F21" s="6">
        <f t="shared" si="0"/>
        <v>0</v>
      </c>
      <c r="G21" s="2"/>
      <c r="H21" s="7">
        <v>70.040000000000006</v>
      </c>
      <c r="I21" s="2"/>
      <c r="J21" s="6">
        <f t="shared" si="1"/>
        <v>0</v>
      </c>
      <c r="K21" s="2"/>
      <c r="L21" s="7">
        <f t="shared" si="2"/>
        <v>216.40999999999997</v>
      </c>
      <c r="M21" s="2"/>
      <c r="N21" s="6">
        <f t="shared" si="3"/>
        <v>3.0898058252427179</v>
      </c>
      <c r="O21" s="11"/>
      <c r="P21" s="7">
        <v>835.25</v>
      </c>
      <c r="Q21" s="2"/>
      <c r="R21" s="6">
        <f t="shared" si="4"/>
        <v>0</v>
      </c>
      <c r="S21" s="2"/>
      <c r="T21" s="7">
        <v>210.06</v>
      </c>
      <c r="U21" s="2"/>
      <c r="V21" s="6">
        <f t="shared" si="5"/>
        <v>0</v>
      </c>
      <c r="W21" s="2"/>
      <c r="X21" s="7">
        <f t="shared" si="6"/>
        <v>625.19000000000005</v>
      </c>
      <c r="Y21" s="2"/>
      <c r="Z21" s="6">
        <f t="shared" si="7"/>
        <v>2.9762448824145484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6266.66</v>
      </c>
      <c r="E22" s="2"/>
      <c r="F22" s="6">
        <f t="shared" si="0"/>
        <v>0</v>
      </c>
      <c r="G22" s="2"/>
      <c r="H22" s="7">
        <v>5567.04</v>
      </c>
      <c r="I22" s="2"/>
      <c r="J22" s="6">
        <f t="shared" si="1"/>
        <v>0</v>
      </c>
      <c r="K22" s="2"/>
      <c r="L22" s="7">
        <f t="shared" si="2"/>
        <v>699.61999999999989</v>
      </c>
      <c r="M22" s="2"/>
      <c r="N22" s="6">
        <f t="shared" si="3"/>
        <v>0.12567181123182156</v>
      </c>
      <c r="O22" s="11"/>
      <c r="P22" s="7">
        <v>18709.98</v>
      </c>
      <c r="Q22" s="2"/>
      <c r="R22" s="6">
        <f t="shared" si="4"/>
        <v>0</v>
      </c>
      <c r="S22" s="2"/>
      <c r="T22" s="7">
        <v>16701.12</v>
      </c>
      <c r="U22" s="2"/>
      <c r="V22" s="6">
        <f t="shared" si="5"/>
        <v>0</v>
      </c>
      <c r="W22" s="2"/>
      <c r="X22" s="7">
        <f t="shared" si="6"/>
        <v>2008.8600000000006</v>
      </c>
      <c r="Y22" s="2"/>
      <c r="Z22" s="6">
        <f t="shared" si="7"/>
        <v>0.12028295108352019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57.74</v>
      </c>
      <c r="E23" s="2"/>
      <c r="F23" s="6">
        <f t="shared" si="0"/>
        <v>0</v>
      </c>
      <c r="G23" s="2"/>
      <c r="H23" s="7">
        <v>55.18</v>
      </c>
      <c r="I23" s="2"/>
      <c r="J23" s="6">
        <f t="shared" si="1"/>
        <v>0</v>
      </c>
      <c r="K23" s="2"/>
      <c r="L23" s="7">
        <f t="shared" si="2"/>
        <v>2.5600000000000023</v>
      </c>
      <c r="M23" s="2"/>
      <c r="N23" s="6">
        <f t="shared" si="3"/>
        <v>4.6393620877129435E-2</v>
      </c>
      <c r="O23" s="11"/>
      <c r="P23" s="7">
        <v>168.35</v>
      </c>
      <c r="Q23" s="2"/>
      <c r="R23" s="6">
        <f t="shared" si="4"/>
        <v>0</v>
      </c>
      <c r="S23" s="2"/>
      <c r="T23" s="7">
        <v>165.49</v>
      </c>
      <c r="U23" s="2"/>
      <c r="V23" s="6">
        <f t="shared" si="5"/>
        <v>0</v>
      </c>
      <c r="W23" s="2"/>
      <c r="X23" s="7">
        <f t="shared" si="6"/>
        <v>2.8599999999999852</v>
      </c>
      <c r="Y23" s="2"/>
      <c r="Z23" s="6">
        <f t="shared" si="7"/>
        <v>1.7282010997643271E-2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1947.91</v>
      </c>
      <c r="E24" s="2"/>
      <c r="F24" s="6">
        <f t="shared" si="0"/>
        <v>0</v>
      </c>
      <c r="G24" s="2"/>
      <c r="H24" s="7">
        <v>1978.76</v>
      </c>
      <c r="I24" s="2"/>
      <c r="J24" s="6">
        <f t="shared" si="1"/>
        <v>0</v>
      </c>
      <c r="K24" s="2"/>
      <c r="L24" s="7">
        <f t="shared" si="2"/>
        <v>-30.849999999999909</v>
      </c>
      <c r="M24" s="2"/>
      <c r="N24" s="6">
        <f t="shared" si="3"/>
        <v>-1.5590571873294341E-2</v>
      </c>
      <c r="O24" s="11"/>
      <c r="P24" s="7">
        <v>5843.73</v>
      </c>
      <c r="Q24" s="2"/>
      <c r="R24" s="6">
        <f t="shared" si="4"/>
        <v>0</v>
      </c>
      <c r="S24" s="2"/>
      <c r="T24" s="7">
        <v>6925.67</v>
      </c>
      <c r="U24" s="2"/>
      <c r="V24" s="6">
        <f t="shared" si="5"/>
        <v>0</v>
      </c>
      <c r="W24" s="2"/>
      <c r="X24" s="7">
        <f t="shared" si="6"/>
        <v>-1081.9400000000005</v>
      </c>
      <c r="Y24" s="2"/>
      <c r="Z24" s="6">
        <f t="shared" si="7"/>
        <v>-0.15622170851340023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7">
        <v>1164.3399999999999</v>
      </c>
      <c r="E25" s="2"/>
      <c r="F25" s="6">
        <f t="shared" si="0"/>
        <v>0</v>
      </c>
      <c r="G25" s="2"/>
      <c r="H25" s="7">
        <v>1559.44</v>
      </c>
      <c r="I25" s="2"/>
      <c r="J25" s="6">
        <f t="shared" si="1"/>
        <v>0</v>
      </c>
      <c r="K25" s="2"/>
      <c r="L25" s="7">
        <f t="shared" si="2"/>
        <v>-395.10000000000014</v>
      </c>
      <c r="M25" s="2"/>
      <c r="N25" s="6">
        <f t="shared" si="3"/>
        <v>-0.25336018057764331</v>
      </c>
      <c r="O25" s="11"/>
      <c r="P25" s="7">
        <v>3760.07</v>
      </c>
      <c r="Q25" s="2"/>
      <c r="R25" s="6">
        <f t="shared" si="4"/>
        <v>0</v>
      </c>
      <c r="S25" s="2"/>
      <c r="T25" s="7">
        <v>4678.32</v>
      </c>
      <c r="U25" s="2"/>
      <c r="V25" s="6">
        <f t="shared" si="5"/>
        <v>0</v>
      </c>
      <c r="W25" s="2"/>
      <c r="X25" s="7">
        <f t="shared" si="6"/>
        <v>-918.24999999999955</v>
      </c>
      <c r="Y25" s="2"/>
      <c r="Z25" s="6">
        <f t="shared" si="7"/>
        <v>-0.19627772362728493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7">
        <v>979.42</v>
      </c>
      <c r="E26" s="2"/>
      <c r="F26" s="6">
        <f t="shared" si="0"/>
        <v>0</v>
      </c>
      <c r="G26" s="2"/>
      <c r="H26" s="7">
        <v>979.42</v>
      </c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2938.26</v>
      </c>
      <c r="Q26" s="2"/>
      <c r="R26" s="6">
        <f t="shared" si="4"/>
        <v>0</v>
      </c>
      <c r="S26" s="2"/>
      <c r="T26" s="7">
        <v>2938.26</v>
      </c>
      <c r="U26" s="2"/>
      <c r="V26" s="6">
        <f t="shared" si="5"/>
        <v>0</v>
      </c>
      <c r="W26" s="2"/>
      <c r="X26" s="7">
        <f t="shared" si="6"/>
        <v>0</v>
      </c>
      <c r="Y26" s="2"/>
      <c r="Z26" s="6">
        <f t="shared" si="7"/>
        <v>0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7">
        <v>498.67</v>
      </c>
      <c r="E27" s="2"/>
      <c r="F27" s="6">
        <f t="shared" si="0"/>
        <v>0</v>
      </c>
      <c r="G27" s="2"/>
      <c r="H27" s="7">
        <v>403.6</v>
      </c>
      <c r="I27" s="2"/>
      <c r="J27" s="6">
        <f t="shared" si="1"/>
        <v>0</v>
      </c>
      <c r="K27" s="2"/>
      <c r="L27" s="7">
        <f t="shared" si="2"/>
        <v>95.07</v>
      </c>
      <c r="M27" s="2"/>
      <c r="N27" s="6">
        <f t="shared" si="3"/>
        <v>0.23555500495540135</v>
      </c>
      <c r="O27" s="11"/>
      <c r="P27" s="7">
        <v>1369.23</v>
      </c>
      <c r="Q27" s="2"/>
      <c r="R27" s="6">
        <f t="shared" si="4"/>
        <v>0</v>
      </c>
      <c r="S27" s="2"/>
      <c r="T27" s="7">
        <v>995.03</v>
      </c>
      <c r="U27" s="2"/>
      <c r="V27" s="6">
        <f t="shared" si="5"/>
        <v>0</v>
      </c>
      <c r="W27" s="2"/>
      <c r="X27" s="7">
        <f t="shared" si="6"/>
        <v>374.20000000000005</v>
      </c>
      <c r="Y27" s="2"/>
      <c r="Z27" s="6">
        <f t="shared" si="7"/>
        <v>0.37606906324432438</v>
      </c>
    </row>
    <row r="28" spans="1:26" s="27" customFormat="1" outlineLevel="1" collapsed="1" x14ac:dyDescent="0.25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21607.759999999998</v>
      </c>
      <c r="E28" s="1"/>
      <c r="F28" s="5">
        <f t="shared" ref="F28:F31" si="8">IF(D$12=0,0,D28/D$12)</f>
        <v>0</v>
      </c>
      <c r="G28" s="1"/>
      <c r="H28" s="1">
        <f>SUM(OSRRefH22_1x_0)</f>
        <v>20611.34</v>
      </c>
      <c r="I28" s="1"/>
      <c r="J28" s="5">
        <f t="shared" ref="J28:J31" si="9">IF(H$12=0,0,H28/H$12)</f>
        <v>0</v>
      </c>
      <c r="K28" s="1"/>
      <c r="L28" s="1">
        <f t="shared" ref="L28:L31" si="10">+D28-H28</f>
        <v>996.41999999999825</v>
      </c>
      <c r="M28" s="1"/>
      <c r="N28" s="5">
        <f t="shared" ref="N28:N31" si="11">IF(H28=0,0,L28/H28)</f>
        <v>4.8343290635155127E-2</v>
      </c>
      <c r="O28" s="14"/>
      <c r="P28" s="1">
        <f>SUM(OSRRefP22_1x_0)</f>
        <v>68526.740000000005</v>
      </c>
      <c r="Q28" s="1"/>
      <c r="R28" s="5">
        <f t="shared" ref="R28:R31" si="12">IF(P$12=0,0,P28/P$12)</f>
        <v>0</v>
      </c>
      <c r="S28" s="1"/>
      <c r="T28" s="1">
        <f>SUM(OSRRefT22_1x_0)</f>
        <v>63307.079999999994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5219.6600000000108</v>
      </c>
      <c r="Y28" s="1"/>
      <c r="Z28" s="5">
        <f t="shared" ref="Z28:Z31" si="15">IF(T28=0,0,X28/T28)</f>
        <v>8.2449861847995687E-2</v>
      </c>
    </row>
    <row r="29" spans="1:26" s="24" customFormat="1" hidden="1" outlineLevel="2" x14ac:dyDescent="0.25">
      <c r="A29" s="28"/>
      <c r="B29" s="11" t="str">
        <f>CONCATENATE("          ", "6002", " - ", "STAFF SALARIES")</f>
        <v xml:space="preserve">          6002 - STAFF SALARIES</v>
      </c>
      <c r="C29" s="11"/>
      <c r="D29" s="7">
        <v>20722.8</v>
      </c>
      <c r="E29" s="2"/>
      <c r="F29" s="6">
        <f t="shared" si="8"/>
        <v>0</v>
      </c>
      <c r="G29" s="2"/>
      <c r="H29" s="7">
        <v>20449.46</v>
      </c>
      <c r="I29" s="2"/>
      <c r="J29" s="6">
        <f t="shared" si="9"/>
        <v>0</v>
      </c>
      <c r="K29" s="2"/>
      <c r="L29" s="7">
        <f t="shared" si="10"/>
        <v>273.34000000000015</v>
      </c>
      <c r="M29" s="2"/>
      <c r="N29" s="6">
        <f t="shared" si="11"/>
        <v>1.336661212569917E-2</v>
      </c>
      <c r="O29" s="11"/>
      <c r="P29" s="7">
        <v>67436.78</v>
      </c>
      <c r="Q29" s="2"/>
      <c r="R29" s="6">
        <f t="shared" si="12"/>
        <v>0</v>
      </c>
      <c r="S29" s="2"/>
      <c r="T29" s="7">
        <v>63059.31</v>
      </c>
      <c r="U29" s="2"/>
      <c r="V29" s="6">
        <f t="shared" si="13"/>
        <v>0</v>
      </c>
      <c r="W29" s="2"/>
      <c r="X29" s="7">
        <f t="shared" si="14"/>
        <v>4377.4700000000012</v>
      </c>
      <c r="Y29" s="2"/>
      <c r="Z29" s="6">
        <f t="shared" si="15"/>
        <v>6.9418298424134384E-2</v>
      </c>
    </row>
    <row r="30" spans="1:26" s="24" customFormat="1" hidden="1" outlineLevel="2" x14ac:dyDescent="0.25">
      <c r="A30" s="28"/>
      <c r="B30" s="11" t="str">
        <f>CONCATENATE("          ", "6005", " - ", "TEMPORARY WAGES-HOURLY")</f>
        <v xml:space="preserve">          6005 - TEMPORARY WAGES-HOURLY</v>
      </c>
      <c r="C30" s="11"/>
      <c r="D30" s="7"/>
      <c r="E30" s="2"/>
      <c r="F30" s="6">
        <f t="shared" si="8"/>
        <v>0</v>
      </c>
      <c r="G30" s="2"/>
      <c r="H30" s="7">
        <v>89.49</v>
      </c>
      <c r="I30" s="2"/>
      <c r="J30" s="6">
        <f t="shared" si="9"/>
        <v>0</v>
      </c>
      <c r="K30" s="2"/>
      <c r="L30" s="7">
        <f t="shared" si="10"/>
        <v>-89.49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89.49</v>
      </c>
      <c r="U30" s="2"/>
      <c r="V30" s="6">
        <f t="shared" si="13"/>
        <v>0</v>
      </c>
      <c r="W30" s="2"/>
      <c r="X30" s="7">
        <f t="shared" si="14"/>
        <v>-89.49</v>
      </c>
      <c r="Y30" s="2"/>
      <c r="Z30" s="6">
        <f t="shared" si="15"/>
        <v>-1</v>
      </c>
    </row>
    <row r="31" spans="1:26" s="24" customFormat="1" hidden="1" outlineLevel="2" x14ac:dyDescent="0.25">
      <c r="A31" s="28"/>
      <c r="B31" s="11" t="str">
        <f>CONCATENATE("          ", "6007", " - ", "STUDENT HOURLY")</f>
        <v xml:space="preserve">          6007 - STUDENT HOURLY</v>
      </c>
      <c r="C31" s="11"/>
      <c r="D31" s="7">
        <v>884.96</v>
      </c>
      <c r="E31" s="2"/>
      <c r="F31" s="6">
        <f t="shared" si="8"/>
        <v>0</v>
      </c>
      <c r="G31" s="2"/>
      <c r="H31" s="7">
        <v>72.39</v>
      </c>
      <c r="I31" s="2"/>
      <c r="J31" s="6">
        <f t="shared" si="9"/>
        <v>0</v>
      </c>
      <c r="K31" s="2"/>
      <c r="L31" s="7">
        <f t="shared" si="10"/>
        <v>812.57</v>
      </c>
      <c r="M31" s="2"/>
      <c r="N31" s="6">
        <f t="shared" si="11"/>
        <v>11.224892941013954</v>
      </c>
      <c r="O31" s="11"/>
      <c r="P31" s="7">
        <v>1089.96</v>
      </c>
      <c r="Q31" s="2"/>
      <c r="R31" s="6">
        <f t="shared" si="12"/>
        <v>0</v>
      </c>
      <c r="S31" s="2"/>
      <c r="T31" s="7">
        <v>158.28</v>
      </c>
      <c r="U31" s="2"/>
      <c r="V31" s="6">
        <f t="shared" si="13"/>
        <v>0</v>
      </c>
      <c r="W31" s="2"/>
      <c r="X31" s="7">
        <f t="shared" si="14"/>
        <v>931.68000000000006</v>
      </c>
      <c r="Y31" s="2"/>
      <c r="Z31" s="6">
        <f t="shared" si="15"/>
        <v>5.8862774829416225</v>
      </c>
    </row>
    <row r="32" spans="1:26" s="27" customFormat="1" outlineLevel="1" collapsed="1" x14ac:dyDescent="0.25">
      <c r="A32" s="29"/>
      <c r="B32" s="14" t="str">
        <f>CONCATENATE("     ","Depreciation                                      ")</f>
        <v xml:space="preserve">     Depreciation                                      </v>
      </c>
      <c r="C32" s="14"/>
      <c r="D32" s="1">
        <f>SUM(OSRRefD22_2x_0)</f>
        <v>1558.88</v>
      </c>
      <c r="E32" s="1"/>
      <c r="F32" s="5">
        <f t="shared" ref="F32:F38" si="16">IF(D$12=0,0,D32/D$12)</f>
        <v>0</v>
      </c>
      <c r="G32" s="1"/>
      <c r="H32" s="1">
        <f>SUM(OSRRefH22_2x_0)</f>
        <v>1558.88</v>
      </c>
      <c r="I32" s="1"/>
      <c r="J32" s="5">
        <f t="shared" ref="J32:J38" si="17">IF(H$12=0,0,H32/H$12)</f>
        <v>0</v>
      </c>
      <c r="K32" s="1"/>
      <c r="L32" s="1">
        <f t="shared" ref="L32:L38" si="18">+D32-H32</f>
        <v>0</v>
      </c>
      <c r="M32" s="1"/>
      <c r="N32" s="5">
        <f t="shared" ref="N32:N38" si="19">IF(H32=0,0,L32/H32)</f>
        <v>0</v>
      </c>
      <c r="O32" s="14"/>
      <c r="P32" s="1">
        <f>SUM(OSRRefP22_2x_0)</f>
        <v>4676.6400000000003</v>
      </c>
      <c r="Q32" s="1"/>
      <c r="R32" s="5">
        <f t="shared" ref="R32:R38" si="20">IF(P$12=0,0,P32/P$12)</f>
        <v>0</v>
      </c>
      <c r="S32" s="1"/>
      <c r="T32" s="1">
        <f>SUM(OSRRefT22_2x_0)</f>
        <v>4676.6400000000003</v>
      </c>
      <c r="U32" s="1"/>
      <c r="V32" s="5">
        <f t="shared" ref="V32:V38" si="21">IF(T$12=0,0,T32/T$12)</f>
        <v>0</v>
      </c>
      <c r="W32" s="1"/>
      <c r="X32" s="1">
        <f t="shared" ref="X32:X38" si="22">+P32-T32</f>
        <v>0</v>
      </c>
      <c r="Y32" s="1"/>
      <c r="Z32" s="5">
        <f t="shared" ref="Z32:Z38" si="23">IF(T32=0,0,X32/T32)</f>
        <v>0</v>
      </c>
    </row>
    <row r="33" spans="1:26" s="24" customFormat="1" hidden="1" outlineLevel="2" x14ac:dyDescent="0.25">
      <c r="A33" s="28"/>
      <c r="B33" s="11" t="str">
        <f>CONCATENATE("          ", "6322", " - ", "EQUIPMENT DEPRECIATION EXPENSE")</f>
        <v xml:space="preserve">          6322 - EQUIPMENT DEPRECIATION EXPENSE</v>
      </c>
      <c r="C33" s="11"/>
      <c r="D33" s="7">
        <v>1558.88</v>
      </c>
      <c r="E33" s="2"/>
      <c r="F33" s="6">
        <f t="shared" si="16"/>
        <v>0</v>
      </c>
      <c r="G33" s="2"/>
      <c r="H33" s="7">
        <v>1558.88</v>
      </c>
      <c r="I33" s="2"/>
      <c r="J33" s="6">
        <f t="shared" si="17"/>
        <v>0</v>
      </c>
      <c r="K33" s="2"/>
      <c r="L33" s="7">
        <f t="shared" si="18"/>
        <v>0</v>
      </c>
      <c r="M33" s="2"/>
      <c r="N33" s="6">
        <f t="shared" si="19"/>
        <v>0</v>
      </c>
      <c r="O33" s="11"/>
      <c r="P33" s="7">
        <v>4676.6400000000003</v>
      </c>
      <c r="Q33" s="2"/>
      <c r="R33" s="6">
        <f t="shared" si="20"/>
        <v>0</v>
      </c>
      <c r="S33" s="2"/>
      <c r="T33" s="7">
        <v>4676.6400000000003</v>
      </c>
      <c r="U33" s="2"/>
      <c r="V33" s="6">
        <f t="shared" si="21"/>
        <v>0</v>
      </c>
      <c r="W33" s="2"/>
      <c r="X33" s="7">
        <f t="shared" si="22"/>
        <v>0</v>
      </c>
      <c r="Y33" s="2"/>
      <c r="Z33" s="6">
        <f t="shared" si="23"/>
        <v>0</v>
      </c>
    </row>
    <row r="34" spans="1:26" s="27" customFormat="1" outlineLevel="1" collapsed="1" x14ac:dyDescent="0.25">
      <c r="A34" s="29"/>
      <c r="B34" s="14" t="str">
        <f>CONCATENATE("     ","Equipment Rental                                  ")</f>
        <v xml:space="preserve">     Equipment Rental                                  </v>
      </c>
      <c r="C34" s="14"/>
      <c r="D34" s="1">
        <f>SUM(OSRRefD22_3x_0)</f>
        <v>91.26</v>
      </c>
      <c r="E34" s="1"/>
      <c r="F34" s="5">
        <f t="shared" si="16"/>
        <v>0</v>
      </c>
      <c r="G34" s="1"/>
      <c r="H34" s="1">
        <f>SUM(OSRRefH22_3x_0)</f>
        <v>91.26</v>
      </c>
      <c r="I34" s="1"/>
      <c r="J34" s="5">
        <f t="shared" si="17"/>
        <v>0</v>
      </c>
      <c r="K34" s="1"/>
      <c r="L34" s="1">
        <f t="shared" si="18"/>
        <v>0</v>
      </c>
      <c r="M34" s="1"/>
      <c r="N34" s="5">
        <f t="shared" si="19"/>
        <v>0</v>
      </c>
      <c r="O34" s="14"/>
      <c r="P34" s="1">
        <f>SUM(OSRRefP22_3x_0)</f>
        <v>273.77999999999997</v>
      </c>
      <c r="Q34" s="1"/>
      <c r="R34" s="5">
        <f t="shared" si="20"/>
        <v>0</v>
      </c>
      <c r="S34" s="1"/>
      <c r="T34" s="1">
        <f>SUM(OSRRefT22_3x_0)</f>
        <v>273.77999999999997</v>
      </c>
      <c r="U34" s="1"/>
      <c r="V34" s="5">
        <f t="shared" si="21"/>
        <v>0</v>
      </c>
      <c r="W34" s="1"/>
      <c r="X34" s="1">
        <f t="shared" si="22"/>
        <v>0</v>
      </c>
      <c r="Y34" s="1"/>
      <c r="Z34" s="5">
        <f t="shared" si="23"/>
        <v>0</v>
      </c>
    </row>
    <row r="35" spans="1:26" s="24" customFormat="1" hidden="1" outlineLevel="2" x14ac:dyDescent="0.25">
      <c r="A35" s="28"/>
      <c r="B35" s="11" t="str">
        <f>CONCATENATE("          ", "6351", " - ", "EQUIPMENT RENTAL")</f>
        <v xml:space="preserve">          6351 - EQUIPMENT RENTAL</v>
      </c>
      <c r="C35" s="11"/>
      <c r="D35" s="7">
        <v>91.26</v>
      </c>
      <c r="E35" s="2"/>
      <c r="F35" s="6">
        <f t="shared" si="16"/>
        <v>0</v>
      </c>
      <c r="G35" s="2"/>
      <c r="H35" s="7">
        <v>91.26</v>
      </c>
      <c r="I35" s="2"/>
      <c r="J35" s="6">
        <f t="shared" si="17"/>
        <v>0</v>
      </c>
      <c r="K35" s="2"/>
      <c r="L35" s="7">
        <f t="shared" si="18"/>
        <v>0</v>
      </c>
      <c r="M35" s="2"/>
      <c r="N35" s="6">
        <f t="shared" si="19"/>
        <v>0</v>
      </c>
      <c r="O35" s="11"/>
      <c r="P35" s="7">
        <v>273.77999999999997</v>
      </c>
      <c r="Q35" s="2"/>
      <c r="R35" s="6">
        <f t="shared" si="20"/>
        <v>0</v>
      </c>
      <c r="S35" s="2"/>
      <c r="T35" s="7">
        <v>273.77999999999997</v>
      </c>
      <c r="U35" s="2"/>
      <c r="V35" s="6">
        <f t="shared" si="21"/>
        <v>0</v>
      </c>
      <c r="W35" s="2"/>
      <c r="X35" s="7">
        <f t="shared" si="22"/>
        <v>0</v>
      </c>
      <c r="Y35" s="2"/>
      <c r="Z35" s="6">
        <f t="shared" si="23"/>
        <v>0</v>
      </c>
    </row>
    <row r="36" spans="1:26" s="27" customFormat="1" outlineLevel="1" collapsed="1" x14ac:dyDescent="0.25">
      <c r="A36" s="29"/>
      <c r="B36" s="14" t="str">
        <f>CONCATENATE("     ","Freight out/Postage                               ")</f>
        <v xml:space="preserve">     Freight out/Postage                               </v>
      </c>
      <c r="C36" s="14"/>
      <c r="D36" s="1">
        <f>SUM(OSRRefD22_4x_0)</f>
        <v>169.6</v>
      </c>
      <c r="E36" s="1"/>
      <c r="F36" s="5">
        <f t="shared" si="16"/>
        <v>0</v>
      </c>
      <c r="G36" s="1"/>
      <c r="H36" s="1">
        <f>SUM(OSRRefH22_4x_0)</f>
        <v>104</v>
      </c>
      <c r="I36" s="1"/>
      <c r="J36" s="5">
        <f t="shared" si="17"/>
        <v>0</v>
      </c>
      <c r="K36" s="1"/>
      <c r="L36" s="1">
        <f t="shared" si="18"/>
        <v>65.599999999999994</v>
      </c>
      <c r="M36" s="1"/>
      <c r="N36" s="5">
        <f t="shared" si="19"/>
        <v>0.63076923076923075</v>
      </c>
      <c r="O36" s="14"/>
      <c r="P36" s="1">
        <f>SUM(OSRRefP22_4x_0)</f>
        <v>366.35</v>
      </c>
      <c r="Q36" s="1"/>
      <c r="R36" s="5">
        <f t="shared" si="20"/>
        <v>0</v>
      </c>
      <c r="S36" s="1"/>
      <c r="T36" s="1">
        <f>SUM(OSRRefT22_4x_0)</f>
        <v>322.36</v>
      </c>
      <c r="U36" s="1"/>
      <c r="V36" s="5">
        <f t="shared" si="21"/>
        <v>0</v>
      </c>
      <c r="W36" s="1"/>
      <c r="X36" s="1">
        <f t="shared" si="22"/>
        <v>43.990000000000009</v>
      </c>
      <c r="Y36" s="1"/>
      <c r="Z36" s="5">
        <f t="shared" si="23"/>
        <v>0.13646234024072468</v>
      </c>
    </row>
    <row r="37" spans="1:26" s="24" customFormat="1" hidden="1" outlineLevel="2" x14ac:dyDescent="0.25">
      <c r="A37" s="28"/>
      <c r="B37" s="11" t="str">
        <f>CONCATENATE("          ", "6305", " - ", "FREIGHT OUT")</f>
        <v xml:space="preserve">          6305 - FREIGHT OUT</v>
      </c>
      <c r="C37" s="11"/>
      <c r="D37" s="7"/>
      <c r="E37" s="2"/>
      <c r="F37" s="6">
        <f t="shared" si="16"/>
        <v>0</v>
      </c>
      <c r="G37" s="2"/>
      <c r="H37" s="7"/>
      <c r="I37" s="2"/>
      <c r="J37" s="6">
        <f t="shared" si="17"/>
        <v>0</v>
      </c>
      <c r="K37" s="2"/>
      <c r="L37" s="7">
        <f t="shared" si="18"/>
        <v>0</v>
      </c>
      <c r="M37" s="2"/>
      <c r="N37" s="6">
        <f t="shared" si="19"/>
        <v>0</v>
      </c>
      <c r="O37" s="11"/>
      <c r="P37" s="7"/>
      <c r="Q37" s="2"/>
      <c r="R37" s="6">
        <f t="shared" si="20"/>
        <v>0</v>
      </c>
      <c r="S37" s="2"/>
      <c r="T37" s="7">
        <v>5.41</v>
      </c>
      <c r="U37" s="2"/>
      <c r="V37" s="6">
        <f t="shared" si="21"/>
        <v>0</v>
      </c>
      <c r="W37" s="2"/>
      <c r="X37" s="7">
        <f t="shared" si="22"/>
        <v>-5.41</v>
      </c>
      <c r="Y37" s="2"/>
      <c r="Z37" s="6">
        <f t="shared" si="23"/>
        <v>-1</v>
      </c>
    </row>
    <row r="38" spans="1:26" s="24" customFormat="1" hidden="1" outlineLevel="2" x14ac:dyDescent="0.25">
      <c r="A38" s="28"/>
      <c r="B38" s="11" t="str">
        <f>CONCATENATE("          ", "6307", " - ", "POSTAGE")</f>
        <v xml:space="preserve">          6307 - POSTAGE</v>
      </c>
      <c r="C38" s="11"/>
      <c r="D38" s="7">
        <v>169.6</v>
      </c>
      <c r="E38" s="2"/>
      <c r="F38" s="6">
        <f t="shared" si="16"/>
        <v>0</v>
      </c>
      <c r="G38" s="2"/>
      <c r="H38" s="7">
        <v>104</v>
      </c>
      <c r="I38" s="2"/>
      <c r="J38" s="6">
        <f t="shared" si="17"/>
        <v>0</v>
      </c>
      <c r="K38" s="2"/>
      <c r="L38" s="7">
        <f t="shared" si="18"/>
        <v>65.599999999999994</v>
      </c>
      <c r="M38" s="2"/>
      <c r="N38" s="6">
        <f t="shared" si="19"/>
        <v>0.63076923076923075</v>
      </c>
      <c r="O38" s="11"/>
      <c r="P38" s="7">
        <v>366.35</v>
      </c>
      <c r="Q38" s="2"/>
      <c r="R38" s="6">
        <f t="shared" si="20"/>
        <v>0</v>
      </c>
      <c r="S38" s="2"/>
      <c r="T38" s="7">
        <v>316.95</v>
      </c>
      <c r="U38" s="2"/>
      <c r="V38" s="6">
        <f t="shared" si="21"/>
        <v>0</v>
      </c>
      <c r="W38" s="2"/>
      <c r="X38" s="7">
        <f t="shared" si="22"/>
        <v>49.400000000000034</v>
      </c>
      <c r="Y38" s="2"/>
      <c r="Z38" s="6">
        <f t="shared" si="23"/>
        <v>0.15586054582741768</v>
      </c>
    </row>
    <row r="39" spans="1:26" s="27" customFormat="1" outlineLevel="1" collapsed="1" x14ac:dyDescent="0.25">
      <c r="A39" s="29"/>
      <c r="B39" s="14" t="str">
        <f>CONCATENATE("     ","Insurance                                         ")</f>
        <v xml:space="preserve">     Insurance                                         </v>
      </c>
      <c r="C39" s="14"/>
      <c r="D39" s="1">
        <f>SUM(OSRRefD22_5x_0)</f>
        <v>179.64</v>
      </c>
      <c r="E39" s="1"/>
      <c r="F39" s="5">
        <f t="shared" ref="F39:F44" si="24">IF(D$12=0,0,D39/D$12)</f>
        <v>0</v>
      </c>
      <c r="G39" s="1"/>
      <c r="H39" s="1">
        <f>SUM(OSRRefH22_5x_0)</f>
        <v>132.16999999999999</v>
      </c>
      <c r="I39" s="1"/>
      <c r="J39" s="5">
        <f t="shared" ref="J39:J44" si="25">IF(H$12=0,0,H39/H$12)</f>
        <v>0</v>
      </c>
      <c r="K39" s="1"/>
      <c r="L39" s="1">
        <f t="shared" ref="L39:L44" si="26">+D39-H39</f>
        <v>47.47</v>
      </c>
      <c r="M39" s="1"/>
      <c r="N39" s="5">
        <f t="shared" ref="N39:N44" si="27">IF(H39=0,0,L39/H39)</f>
        <v>0.35915865930241359</v>
      </c>
      <c r="O39" s="14"/>
      <c r="P39" s="1">
        <f>SUM(OSRRefP22_5x_0)</f>
        <v>538.91999999999996</v>
      </c>
      <c r="Q39" s="1"/>
      <c r="R39" s="5">
        <f t="shared" ref="R39:R44" si="28">IF(P$12=0,0,P39/P$12)</f>
        <v>0</v>
      </c>
      <c r="S39" s="1"/>
      <c r="T39" s="1">
        <f>SUM(OSRRefT22_5x_0)</f>
        <v>396.51</v>
      </c>
      <c r="U39" s="1"/>
      <c r="V39" s="5">
        <f t="shared" ref="V39:V44" si="29">IF(T$12=0,0,T39/T$12)</f>
        <v>0</v>
      </c>
      <c r="W39" s="1"/>
      <c r="X39" s="1">
        <f t="shared" ref="X39:X44" si="30">+P39-T39</f>
        <v>142.40999999999997</v>
      </c>
      <c r="Y39" s="1"/>
      <c r="Z39" s="5">
        <f t="shared" ref="Z39:Z44" si="31">IF(T39=0,0,X39/T39)</f>
        <v>0.35915865930241347</v>
      </c>
    </row>
    <row r="40" spans="1:26" s="24" customFormat="1" hidden="1" outlineLevel="2" x14ac:dyDescent="0.25">
      <c r="A40" s="28"/>
      <c r="B40" s="11" t="str">
        <f>CONCATENATE("          ", "6314", " - ", "LIABILITY INSURANCE")</f>
        <v xml:space="preserve">          6314 - LIABILITY INSURANCE</v>
      </c>
      <c r="C40" s="11"/>
      <c r="D40" s="7">
        <v>179.64</v>
      </c>
      <c r="E40" s="2"/>
      <c r="F40" s="6">
        <f t="shared" si="24"/>
        <v>0</v>
      </c>
      <c r="G40" s="2"/>
      <c r="H40" s="7">
        <v>132.16999999999999</v>
      </c>
      <c r="I40" s="2"/>
      <c r="J40" s="6">
        <f t="shared" si="25"/>
        <v>0</v>
      </c>
      <c r="K40" s="2"/>
      <c r="L40" s="7">
        <f t="shared" si="26"/>
        <v>47.47</v>
      </c>
      <c r="M40" s="2"/>
      <c r="N40" s="6">
        <f t="shared" si="27"/>
        <v>0.35915865930241359</v>
      </c>
      <c r="O40" s="11"/>
      <c r="P40" s="7">
        <v>538.91999999999996</v>
      </c>
      <c r="Q40" s="2"/>
      <c r="R40" s="6">
        <f t="shared" si="28"/>
        <v>0</v>
      </c>
      <c r="S40" s="2"/>
      <c r="T40" s="7">
        <v>396.51</v>
      </c>
      <c r="U40" s="2"/>
      <c r="V40" s="6">
        <f t="shared" si="29"/>
        <v>0</v>
      </c>
      <c r="W40" s="2"/>
      <c r="X40" s="7">
        <f t="shared" si="30"/>
        <v>142.40999999999997</v>
      </c>
      <c r="Y40" s="2"/>
      <c r="Z40" s="6">
        <f t="shared" si="31"/>
        <v>0.35915865930241347</v>
      </c>
    </row>
    <row r="41" spans="1:26" s="27" customFormat="1" outlineLevel="1" collapsed="1" x14ac:dyDescent="0.25">
      <c r="A41" s="29"/>
      <c r="B41" s="14" t="str">
        <f>CONCATENATE("     ","Repair and Maintenance                            ")</f>
        <v xml:space="preserve">     Repair and Maintenance                            </v>
      </c>
      <c r="C41" s="14"/>
      <c r="D41" s="1">
        <f>SUM(OSRRefD22_6x_0)</f>
        <v>0</v>
      </c>
      <c r="E41" s="1"/>
      <c r="F41" s="5">
        <f t="shared" si="24"/>
        <v>0</v>
      </c>
      <c r="G41" s="1"/>
      <c r="H41" s="1">
        <f>SUM(OSRRefH22_6x_0)</f>
        <v>81.44</v>
      </c>
      <c r="I41" s="1"/>
      <c r="J41" s="5">
        <f t="shared" si="25"/>
        <v>0</v>
      </c>
      <c r="K41" s="1"/>
      <c r="L41" s="1">
        <f t="shared" si="26"/>
        <v>-81.44</v>
      </c>
      <c r="M41" s="1"/>
      <c r="N41" s="5">
        <f t="shared" si="27"/>
        <v>-1</v>
      </c>
      <c r="O41" s="14"/>
      <c r="P41" s="1">
        <f>SUM(OSRRefP22_6x_0)</f>
        <v>1677.46</v>
      </c>
      <c r="Q41" s="1"/>
      <c r="R41" s="5">
        <f t="shared" si="28"/>
        <v>0</v>
      </c>
      <c r="S41" s="1"/>
      <c r="T41" s="1">
        <f>SUM(OSRRefT22_6x_0)</f>
        <v>417.48</v>
      </c>
      <c r="U41" s="1"/>
      <c r="V41" s="5">
        <f t="shared" si="29"/>
        <v>0</v>
      </c>
      <c r="W41" s="1"/>
      <c r="X41" s="1">
        <f t="shared" si="30"/>
        <v>1259.98</v>
      </c>
      <c r="Y41" s="1"/>
      <c r="Z41" s="5">
        <f t="shared" si="31"/>
        <v>3.0180607454249304</v>
      </c>
    </row>
    <row r="42" spans="1:26" s="24" customFormat="1" hidden="1" outlineLevel="2" x14ac:dyDescent="0.25">
      <c r="A42" s="28"/>
      <c r="B42" s="11" t="str">
        <f>CONCATENATE("          ", "6371", " - ", "COMPUTER SOFTWARE MAINTENANCE")</f>
        <v xml:space="preserve">          6371 - COMPUTER SOFTWARE MAINTENANCE</v>
      </c>
      <c r="C42" s="11"/>
      <c r="D42" s="7"/>
      <c r="E42" s="2"/>
      <c r="F42" s="6">
        <f t="shared" si="24"/>
        <v>0</v>
      </c>
      <c r="G42" s="2"/>
      <c r="H42" s="7">
        <v>59.95</v>
      </c>
      <c r="I42" s="2"/>
      <c r="J42" s="6">
        <f t="shared" si="25"/>
        <v>0</v>
      </c>
      <c r="K42" s="2"/>
      <c r="L42" s="7">
        <f t="shared" si="26"/>
        <v>-59.95</v>
      </c>
      <c r="M42" s="2"/>
      <c r="N42" s="6">
        <f t="shared" si="27"/>
        <v>-1</v>
      </c>
      <c r="O42" s="11"/>
      <c r="P42" s="7">
        <v>119.9</v>
      </c>
      <c r="Q42" s="2"/>
      <c r="R42" s="6">
        <f t="shared" si="28"/>
        <v>0</v>
      </c>
      <c r="S42" s="2"/>
      <c r="T42" s="7">
        <v>386.1</v>
      </c>
      <c r="U42" s="2"/>
      <c r="V42" s="6">
        <f t="shared" si="29"/>
        <v>0</v>
      </c>
      <c r="W42" s="2"/>
      <c r="X42" s="7">
        <f t="shared" si="30"/>
        <v>-266.20000000000005</v>
      </c>
      <c r="Y42" s="2"/>
      <c r="Z42" s="6">
        <f t="shared" si="31"/>
        <v>-0.68945868945868949</v>
      </c>
    </row>
    <row r="43" spans="1:26" s="24" customFormat="1" hidden="1" outlineLevel="2" x14ac:dyDescent="0.25">
      <c r="A43" s="28"/>
      <c r="B43" s="11" t="str">
        <f>CONCATENATE("          ", "6373", " - ", "MAINTENANCE CONTRACTS")</f>
        <v xml:space="preserve">          6373 - MAINTENANCE CONTRACTS</v>
      </c>
      <c r="C43" s="11"/>
      <c r="D43" s="7"/>
      <c r="E43" s="2"/>
      <c r="F43" s="6">
        <f t="shared" si="24"/>
        <v>0</v>
      </c>
      <c r="G43" s="2"/>
      <c r="H43" s="7">
        <v>21.49</v>
      </c>
      <c r="I43" s="2"/>
      <c r="J43" s="6">
        <f t="shared" si="25"/>
        <v>0</v>
      </c>
      <c r="K43" s="2"/>
      <c r="L43" s="7">
        <f t="shared" si="26"/>
        <v>-21.49</v>
      </c>
      <c r="M43" s="2"/>
      <c r="N43" s="6">
        <f t="shared" si="27"/>
        <v>-1</v>
      </c>
      <c r="O43" s="11"/>
      <c r="P43" s="7"/>
      <c r="Q43" s="2"/>
      <c r="R43" s="6">
        <f t="shared" si="28"/>
        <v>0</v>
      </c>
      <c r="S43" s="2"/>
      <c r="T43" s="7">
        <v>31.38</v>
      </c>
      <c r="U43" s="2"/>
      <c r="V43" s="6">
        <f t="shared" si="29"/>
        <v>0</v>
      </c>
      <c r="W43" s="2"/>
      <c r="X43" s="7">
        <f t="shared" si="30"/>
        <v>-31.38</v>
      </c>
      <c r="Y43" s="2"/>
      <c r="Z43" s="6">
        <f t="shared" si="31"/>
        <v>-1</v>
      </c>
    </row>
    <row r="44" spans="1:26" s="24" customFormat="1" hidden="1" outlineLevel="2" x14ac:dyDescent="0.25">
      <c r="A44" s="28"/>
      <c r="B44" s="11" t="str">
        <f>CONCATENATE("          ", "6375", " - ", "OUTSIDE REPAIRS &amp; MAINTENANCE")</f>
        <v xml:space="preserve">          6375 - OUTSIDE REPAIRS &amp; MAINTENANCE</v>
      </c>
      <c r="C44" s="11"/>
      <c r="D44" s="7"/>
      <c r="E44" s="2"/>
      <c r="F44" s="6">
        <f t="shared" si="24"/>
        <v>0</v>
      </c>
      <c r="G44" s="2"/>
      <c r="H44" s="7"/>
      <c r="I44" s="2"/>
      <c r="J44" s="6">
        <f t="shared" si="25"/>
        <v>0</v>
      </c>
      <c r="K44" s="2"/>
      <c r="L44" s="7">
        <f t="shared" si="26"/>
        <v>0</v>
      </c>
      <c r="M44" s="2"/>
      <c r="N44" s="6">
        <f t="shared" si="27"/>
        <v>0</v>
      </c>
      <c r="O44" s="11"/>
      <c r="P44" s="7">
        <v>1557.56</v>
      </c>
      <c r="Q44" s="2"/>
      <c r="R44" s="6">
        <f t="shared" si="28"/>
        <v>0</v>
      </c>
      <c r="S44" s="2"/>
      <c r="T44" s="7"/>
      <c r="U44" s="2"/>
      <c r="V44" s="6">
        <f t="shared" si="29"/>
        <v>0</v>
      </c>
      <c r="W44" s="2"/>
      <c r="X44" s="7">
        <f t="shared" si="30"/>
        <v>1557.56</v>
      </c>
      <c r="Y44" s="2"/>
      <c r="Z44" s="6">
        <f t="shared" si="31"/>
        <v>0</v>
      </c>
    </row>
    <row r="45" spans="1:26" s="27" customFormat="1" outlineLevel="1" collapsed="1" x14ac:dyDescent="0.25">
      <c r="A45" s="29"/>
      <c r="B45" s="14" t="str">
        <f>CONCATENATE("     ","Services                                          ")</f>
        <v xml:space="preserve">     Services                                          </v>
      </c>
      <c r="C45" s="14"/>
      <c r="D45" s="1">
        <f>SUM(OSRRefD22_7x_0)</f>
        <v>657.38</v>
      </c>
      <c r="E45" s="1"/>
      <c r="F45" s="5">
        <f t="shared" ref="F45:F49" si="32">IF(D$12=0,0,D45/D$12)</f>
        <v>0</v>
      </c>
      <c r="G45" s="1"/>
      <c r="H45" s="1">
        <f>SUM(OSRRefH22_7x_0)</f>
        <v>512.48</v>
      </c>
      <c r="I45" s="1"/>
      <c r="J45" s="5">
        <f t="shared" ref="J45:J49" si="33">IF(H$12=0,0,H45/H$12)</f>
        <v>0</v>
      </c>
      <c r="K45" s="1"/>
      <c r="L45" s="1">
        <f t="shared" ref="L45:L49" si="34">+D45-H45</f>
        <v>144.89999999999998</v>
      </c>
      <c r="M45" s="1"/>
      <c r="N45" s="5">
        <f t="shared" ref="N45:N49" si="35">IF(H45=0,0,L45/H45)</f>
        <v>0.28274274118014359</v>
      </c>
      <c r="O45" s="14"/>
      <c r="P45" s="1">
        <f>SUM(OSRRefP22_7x_0)</f>
        <v>2025.27</v>
      </c>
      <c r="Q45" s="1"/>
      <c r="R45" s="5">
        <f t="shared" ref="R45:R49" si="36">IF(P$12=0,0,P45/P$12)</f>
        <v>0</v>
      </c>
      <c r="S45" s="1"/>
      <c r="T45" s="1">
        <f>SUM(OSRRefT22_7x_0)</f>
        <v>1024.96</v>
      </c>
      <c r="U45" s="1"/>
      <c r="V45" s="5">
        <f t="shared" ref="V45:V49" si="37">IF(T$12=0,0,T45/T$12)</f>
        <v>0</v>
      </c>
      <c r="W45" s="1"/>
      <c r="X45" s="1">
        <f t="shared" ref="X45:X49" si="38">+P45-T45</f>
        <v>1000.31</v>
      </c>
      <c r="Y45" s="1"/>
      <c r="Z45" s="5">
        <f t="shared" ref="Z45:Z49" si="39">IF(T45=0,0,X45/T45)</f>
        <v>0.97595028098657499</v>
      </c>
    </row>
    <row r="46" spans="1:26" s="24" customFormat="1" hidden="1" outlineLevel="2" x14ac:dyDescent="0.25">
      <c r="A46" s="28"/>
      <c r="B46" s="11" t="str">
        <f>CONCATENATE("          ", "6281", " - ", "STORAGE FEE")</f>
        <v xml:space="preserve">          6281 - STORAGE FEE</v>
      </c>
      <c r="C46" s="11"/>
      <c r="D46" s="7">
        <v>657.38</v>
      </c>
      <c r="E46" s="2"/>
      <c r="F46" s="6">
        <f t="shared" si="32"/>
        <v>0</v>
      </c>
      <c r="G46" s="2"/>
      <c r="H46" s="7">
        <v>512.48</v>
      </c>
      <c r="I46" s="2"/>
      <c r="J46" s="6">
        <f t="shared" si="33"/>
        <v>0</v>
      </c>
      <c r="K46" s="2"/>
      <c r="L46" s="7">
        <f t="shared" si="34"/>
        <v>144.89999999999998</v>
      </c>
      <c r="M46" s="2"/>
      <c r="N46" s="6">
        <f t="shared" si="35"/>
        <v>0.28274274118014359</v>
      </c>
      <c r="O46" s="11"/>
      <c r="P46" s="7">
        <v>2025.27</v>
      </c>
      <c r="Q46" s="2"/>
      <c r="R46" s="6">
        <f t="shared" si="36"/>
        <v>0</v>
      </c>
      <c r="S46" s="2"/>
      <c r="T46" s="7">
        <v>1024.96</v>
      </c>
      <c r="U46" s="2"/>
      <c r="V46" s="6">
        <f t="shared" si="37"/>
        <v>0</v>
      </c>
      <c r="W46" s="2"/>
      <c r="X46" s="7">
        <f t="shared" si="38"/>
        <v>1000.31</v>
      </c>
      <c r="Y46" s="2"/>
      <c r="Z46" s="6">
        <f t="shared" si="39"/>
        <v>0.97595028098657499</v>
      </c>
    </row>
    <row r="47" spans="1:26" s="27" customFormat="1" outlineLevel="1" collapsed="1" x14ac:dyDescent="0.25">
      <c r="A47" s="29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SUM(OSRRefD22_8x_0)</f>
        <v>36.93</v>
      </c>
      <c r="E47" s="1"/>
      <c r="F47" s="5">
        <f t="shared" si="32"/>
        <v>0</v>
      </c>
      <c r="G47" s="1"/>
      <c r="H47" s="1">
        <f>SUM(OSRRefH22_8x_0)</f>
        <v>89.4</v>
      </c>
      <c r="I47" s="1"/>
      <c r="J47" s="5">
        <f t="shared" si="33"/>
        <v>0</v>
      </c>
      <c r="K47" s="1"/>
      <c r="L47" s="1">
        <f t="shared" si="34"/>
        <v>-52.470000000000006</v>
      </c>
      <c r="M47" s="1"/>
      <c r="N47" s="5">
        <f t="shared" si="35"/>
        <v>-0.5869127516778524</v>
      </c>
      <c r="O47" s="14"/>
      <c r="P47" s="1">
        <f>SUM(OSRRefP22_8x_0)</f>
        <v>1345.59</v>
      </c>
      <c r="Q47" s="1"/>
      <c r="R47" s="5">
        <f t="shared" si="36"/>
        <v>0</v>
      </c>
      <c r="S47" s="1"/>
      <c r="T47" s="1">
        <f>SUM(OSRRefT22_8x_0)</f>
        <v>647.46</v>
      </c>
      <c r="U47" s="1"/>
      <c r="V47" s="5">
        <f t="shared" si="37"/>
        <v>0</v>
      </c>
      <c r="W47" s="1"/>
      <c r="X47" s="1">
        <f t="shared" si="38"/>
        <v>698.12999999999988</v>
      </c>
      <c r="Y47" s="1"/>
      <c r="Z47" s="5">
        <f t="shared" si="39"/>
        <v>1.078259660828468</v>
      </c>
    </row>
    <row r="48" spans="1:26" s="24" customFormat="1" hidden="1" outlineLevel="2" x14ac:dyDescent="0.25">
      <c r="A48" s="28"/>
      <c r="B48" s="11" t="str">
        <f>CONCATENATE("          ", "6235", " - ", "COVID-19 EXPENSES")</f>
        <v xml:space="preserve">          6235 - COVID-19 EXPENSES</v>
      </c>
      <c r="C48" s="11"/>
      <c r="D48" s="7"/>
      <c r="E48" s="2"/>
      <c r="F48" s="6">
        <f t="shared" si="32"/>
        <v>0</v>
      </c>
      <c r="G48" s="2"/>
      <c r="H48" s="7"/>
      <c r="I48" s="2"/>
      <c r="J48" s="6">
        <f t="shared" si="33"/>
        <v>0</v>
      </c>
      <c r="K48" s="2"/>
      <c r="L48" s="7">
        <f t="shared" si="34"/>
        <v>0</v>
      </c>
      <c r="M48" s="2"/>
      <c r="N48" s="6">
        <f t="shared" si="35"/>
        <v>0</v>
      </c>
      <c r="O48" s="11"/>
      <c r="P48" s="7"/>
      <c r="Q48" s="2"/>
      <c r="R48" s="6">
        <f t="shared" si="36"/>
        <v>0</v>
      </c>
      <c r="S48" s="2"/>
      <c r="T48" s="7">
        <v>426.66</v>
      </c>
      <c r="U48" s="2"/>
      <c r="V48" s="6">
        <f t="shared" si="37"/>
        <v>0</v>
      </c>
      <c r="W48" s="2"/>
      <c r="X48" s="7">
        <f t="shared" si="38"/>
        <v>-426.66</v>
      </c>
      <c r="Y48" s="2"/>
      <c r="Z48" s="6">
        <f t="shared" si="39"/>
        <v>-1</v>
      </c>
    </row>
    <row r="49" spans="1:26" s="24" customFormat="1" hidden="1" outlineLevel="2" x14ac:dyDescent="0.25">
      <c r="A49" s="28"/>
      <c r="B49" s="11" t="str">
        <f>CONCATENATE("          ", "6241", " - ", "OFFICE EXPENSE")</f>
        <v xml:space="preserve">          6241 - OFFICE EXPENSE</v>
      </c>
      <c r="C49" s="11"/>
      <c r="D49" s="7">
        <v>36.93</v>
      </c>
      <c r="E49" s="2"/>
      <c r="F49" s="6">
        <f t="shared" si="32"/>
        <v>0</v>
      </c>
      <c r="G49" s="2"/>
      <c r="H49" s="7">
        <v>89.4</v>
      </c>
      <c r="I49" s="2"/>
      <c r="J49" s="6">
        <f t="shared" si="33"/>
        <v>0</v>
      </c>
      <c r="K49" s="2"/>
      <c r="L49" s="7">
        <f t="shared" si="34"/>
        <v>-52.470000000000006</v>
      </c>
      <c r="M49" s="2"/>
      <c r="N49" s="6">
        <f t="shared" si="35"/>
        <v>-0.5869127516778524</v>
      </c>
      <c r="O49" s="11"/>
      <c r="P49" s="7">
        <v>1345.59</v>
      </c>
      <c r="Q49" s="2"/>
      <c r="R49" s="6">
        <f t="shared" si="36"/>
        <v>0</v>
      </c>
      <c r="S49" s="2"/>
      <c r="T49" s="7">
        <v>220.8</v>
      </c>
      <c r="U49" s="2"/>
      <c r="V49" s="6">
        <f t="shared" si="37"/>
        <v>0</v>
      </c>
      <c r="W49" s="2"/>
      <c r="X49" s="7">
        <f t="shared" si="38"/>
        <v>1124.79</v>
      </c>
      <c r="Y49" s="2"/>
      <c r="Z49" s="6">
        <f t="shared" si="39"/>
        <v>5.0941576086956522</v>
      </c>
    </row>
    <row r="50" spans="1:26" s="27" customFormat="1" outlineLevel="1" collapsed="1" x14ac:dyDescent="0.25">
      <c r="A50" s="29"/>
      <c r="B50" s="14" t="str">
        <f>CONCATENATE("     ","Telephone/Data Lines                              ")</f>
        <v xml:space="preserve">     Telephone/Data Lines                              </v>
      </c>
      <c r="C50" s="14"/>
      <c r="D50" s="1">
        <f>SUM(OSRRefD22_9x_0)</f>
        <v>421.85</v>
      </c>
      <c r="E50" s="1"/>
      <c r="F50" s="5">
        <f t="shared" ref="F50:F55" si="40">IF(D$12=0,0,D50/D$12)</f>
        <v>0</v>
      </c>
      <c r="G50" s="1"/>
      <c r="H50" s="1">
        <f>SUM(OSRRefH22_9x_0)</f>
        <v>425</v>
      </c>
      <c r="I50" s="1"/>
      <c r="J50" s="5">
        <f t="shared" ref="J50:J55" si="41">IF(H$12=0,0,H50/H$12)</f>
        <v>0</v>
      </c>
      <c r="K50" s="1"/>
      <c r="L50" s="1">
        <f t="shared" ref="L50:L55" si="42">+D50-H50</f>
        <v>-3.1499999999999773</v>
      </c>
      <c r="M50" s="1"/>
      <c r="N50" s="5">
        <f t="shared" ref="N50:N55" si="43">IF(H50=0,0,L50/H50)</f>
        <v>-7.4117647058822992E-3</v>
      </c>
      <c r="O50" s="14"/>
      <c r="P50" s="1">
        <f>SUM(OSRRefP22_9x_0)</f>
        <v>1293.7</v>
      </c>
      <c r="Q50" s="1"/>
      <c r="R50" s="5">
        <f t="shared" ref="R50:R55" si="44">IF(P$12=0,0,P50/P$12)</f>
        <v>0</v>
      </c>
      <c r="S50" s="1"/>
      <c r="T50" s="1">
        <f>SUM(OSRRefT22_9x_0)</f>
        <v>1266.45</v>
      </c>
      <c r="U50" s="1"/>
      <c r="V50" s="5">
        <f t="shared" ref="V50:V55" si="45">IF(T$12=0,0,T50/T$12)</f>
        <v>0</v>
      </c>
      <c r="W50" s="1"/>
      <c r="X50" s="1">
        <f t="shared" ref="X50:X55" si="46">+P50-T50</f>
        <v>27.25</v>
      </c>
      <c r="Y50" s="1"/>
      <c r="Z50" s="5">
        <f t="shared" ref="Z50:Z55" si="47">IF(T50=0,0,X50/T50)</f>
        <v>2.1516838406569545E-2</v>
      </c>
    </row>
    <row r="51" spans="1:26" s="24" customFormat="1" hidden="1" outlineLevel="2" x14ac:dyDescent="0.25">
      <c r="A51" s="28"/>
      <c r="B51" s="11" t="str">
        <f>CONCATENATE("          ", "6309", " - ", "TELEPHONE")</f>
        <v xml:space="preserve">          6309 - TELEPHONE</v>
      </c>
      <c r="C51" s="11"/>
      <c r="D51" s="7">
        <v>421.85</v>
      </c>
      <c r="E51" s="2"/>
      <c r="F51" s="6">
        <f t="shared" si="40"/>
        <v>0</v>
      </c>
      <c r="G51" s="2"/>
      <c r="H51" s="7">
        <v>425</v>
      </c>
      <c r="I51" s="2"/>
      <c r="J51" s="6">
        <f t="shared" si="41"/>
        <v>0</v>
      </c>
      <c r="K51" s="2"/>
      <c r="L51" s="7">
        <f t="shared" si="42"/>
        <v>-3.1499999999999773</v>
      </c>
      <c r="M51" s="2"/>
      <c r="N51" s="6">
        <f t="shared" si="43"/>
        <v>-7.4117647058822992E-3</v>
      </c>
      <c r="O51" s="11"/>
      <c r="P51" s="7">
        <v>1293.7</v>
      </c>
      <c r="Q51" s="2"/>
      <c r="R51" s="6">
        <f t="shared" si="44"/>
        <v>0</v>
      </c>
      <c r="S51" s="2"/>
      <c r="T51" s="7">
        <v>1266.45</v>
      </c>
      <c r="U51" s="2"/>
      <c r="V51" s="6">
        <f t="shared" si="45"/>
        <v>0</v>
      </c>
      <c r="W51" s="2"/>
      <c r="X51" s="7">
        <f t="shared" si="46"/>
        <v>27.25</v>
      </c>
      <c r="Y51" s="2"/>
      <c r="Z51" s="6">
        <f t="shared" si="47"/>
        <v>2.1516838406569545E-2</v>
      </c>
    </row>
    <row r="52" spans="1:26" s="27" customFormat="1" outlineLevel="1" collapsed="1" x14ac:dyDescent="0.25">
      <c r="A52" s="29"/>
      <c r="B52" s="14" t="str">
        <f>CONCATENATE("     ","Training                                          ")</f>
        <v xml:space="preserve">     Training                                          </v>
      </c>
      <c r="C52" s="14"/>
      <c r="D52" s="1">
        <f>SUM(OSRRefD22_10x_0)</f>
        <v>0</v>
      </c>
      <c r="E52" s="1"/>
      <c r="F52" s="5">
        <f t="shared" si="40"/>
        <v>0</v>
      </c>
      <c r="G52" s="1"/>
      <c r="H52" s="1">
        <f>SUM(OSRRefH22_10x_0)</f>
        <v>199</v>
      </c>
      <c r="I52" s="1"/>
      <c r="J52" s="5">
        <f t="shared" si="41"/>
        <v>0</v>
      </c>
      <c r="K52" s="1"/>
      <c r="L52" s="1">
        <f t="shared" si="42"/>
        <v>-199</v>
      </c>
      <c r="M52" s="1"/>
      <c r="N52" s="5">
        <f t="shared" si="43"/>
        <v>-1</v>
      </c>
      <c r="O52" s="14"/>
      <c r="P52" s="1">
        <f>SUM(OSRRefP22_10x_0)</f>
        <v>595</v>
      </c>
      <c r="Q52" s="1"/>
      <c r="R52" s="5">
        <f t="shared" si="44"/>
        <v>0</v>
      </c>
      <c r="S52" s="1"/>
      <c r="T52" s="1">
        <f>SUM(OSRRefT22_10x_0)</f>
        <v>199</v>
      </c>
      <c r="U52" s="1"/>
      <c r="V52" s="5">
        <f t="shared" si="45"/>
        <v>0</v>
      </c>
      <c r="W52" s="1"/>
      <c r="X52" s="1">
        <f t="shared" si="46"/>
        <v>396</v>
      </c>
      <c r="Y52" s="1"/>
      <c r="Z52" s="5">
        <f t="shared" si="47"/>
        <v>1.9899497487437185</v>
      </c>
    </row>
    <row r="53" spans="1:26" s="24" customFormat="1" hidden="1" outlineLevel="2" x14ac:dyDescent="0.25">
      <c r="A53" s="28"/>
      <c r="B53" s="11" t="str">
        <f>CONCATENATE("          ", "6376", " - ", "TRAINING")</f>
        <v xml:space="preserve">          6376 - TRAINING</v>
      </c>
      <c r="C53" s="11"/>
      <c r="D53" s="7"/>
      <c r="E53" s="2"/>
      <c r="F53" s="6">
        <f t="shared" si="40"/>
        <v>0</v>
      </c>
      <c r="G53" s="2"/>
      <c r="H53" s="7">
        <v>199</v>
      </c>
      <c r="I53" s="2"/>
      <c r="J53" s="6">
        <f t="shared" si="41"/>
        <v>0</v>
      </c>
      <c r="K53" s="2"/>
      <c r="L53" s="7">
        <f t="shared" si="42"/>
        <v>-199</v>
      </c>
      <c r="M53" s="2"/>
      <c r="N53" s="6">
        <f t="shared" si="43"/>
        <v>-1</v>
      </c>
      <c r="O53" s="11"/>
      <c r="P53" s="7">
        <v>595</v>
      </c>
      <c r="Q53" s="2"/>
      <c r="R53" s="6">
        <f t="shared" si="44"/>
        <v>0</v>
      </c>
      <c r="S53" s="2"/>
      <c r="T53" s="7">
        <v>199</v>
      </c>
      <c r="U53" s="2"/>
      <c r="V53" s="6">
        <f t="shared" si="45"/>
        <v>0</v>
      </c>
      <c r="W53" s="2"/>
      <c r="X53" s="7">
        <f t="shared" si="46"/>
        <v>396</v>
      </c>
      <c r="Y53" s="2"/>
      <c r="Z53" s="6">
        <f t="shared" si="47"/>
        <v>1.9899497487437185</v>
      </c>
    </row>
    <row r="54" spans="1:26" s="27" customFormat="1" outlineLevel="1" collapsed="1" x14ac:dyDescent="0.25">
      <c r="A54" s="29"/>
      <c r="B54" s="14" t="str">
        <f>CONCATENATE("     ","Travel                                            ")</f>
        <v xml:space="preserve">     Travel                                            </v>
      </c>
      <c r="C54" s="14"/>
      <c r="D54" s="1">
        <f>SUM(OSRRefD22_11x_0)</f>
        <v>13.3</v>
      </c>
      <c r="E54" s="1"/>
      <c r="F54" s="5">
        <f t="shared" si="40"/>
        <v>0</v>
      </c>
      <c r="G54" s="1"/>
      <c r="H54" s="1">
        <f>SUM(OSRRefH22_11x_0)</f>
        <v>0</v>
      </c>
      <c r="I54" s="1"/>
      <c r="J54" s="5">
        <f t="shared" si="41"/>
        <v>0</v>
      </c>
      <c r="K54" s="1"/>
      <c r="L54" s="1">
        <f t="shared" si="42"/>
        <v>13.3</v>
      </c>
      <c r="M54" s="1"/>
      <c r="N54" s="5">
        <f t="shared" si="43"/>
        <v>0</v>
      </c>
      <c r="O54" s="14"/>
      <c r="P54" s="1">
        <f>SUM(OSRRefP22_11x_0)</f>
        <v>30.4</v>
      </c>
      <c r="Q54" s="1"/>
      <c r="R54" s="5">
        <f t="shared" si="44"/>
        <v>0</v>
      </c>
      <c r="S54" s="1"/>
      <c r="T54" s="1">
        <f>SUM(OSRRefT22_11x_0)</f>
        <v>17.55</v>
      </c>
      <c r="U54" s="1"/>
      <c r="V54" s="5">
        <f t="shared" si="45"/>
        <v>0</v>
      </c>
      <c r="W54" s="1"/>
      <c r="X54" s="1">
        <f t="shared" si="46"/>
        <v>12.849999999999998</v>
      </c>
      <c r="Y54" s="1"/>
      <c r="Z54" s="5">
        <f t="shared" si="47"/>
        <v>0.73219373219373207</v>
      </c>
    </row>
    <row r="55" spans="1:26" s="24" customFormat="1" hidden="1" outlineLevel="2" x14ac:dyDescent="0.25">
      <c r="A55" s="28"/>
      <c r="B55" s="11" t="str">
        <f>CONCATENATE("          ", "6294", " - ", "TRAVEL OPERATIONAL")</f>
        <v xml:space="preserve">          6294 - TRAVEL OPERATIONAL</v>
      </c>
      <c r="C55" s="11"/>
      <c r="D55" s="7">
        <v>13.3</v>
      </c>
      <c r="E55" s="2"/>
      <c r="F55" s="6">
        <f t="shared" si="40"/>
        <v>0</v>
      </c>
      <c r="G55" s="2"/>
      <c r="H55" s="7"/>
      <c r="I55" s="2"/>
      <c r="J55" s="6">
        <f t="shared" si="41"/>
        <v>0</v>
      </c>
      <c r="K55" s="2"/>
      <c r="L55" s="7">
        <f t="shared" si="42"/>
        <v>13.3</v>
      </c>
      <c r="M55" s="2"/>
      <c r="N55" s="6">
        <f t="shared" si="43"/>
        <v>0</v>
      </c>
      <c r="O55" s="11"/>
      <c r="P55" s="7">
        <v>30.4</v>
      </c>
      <c r="Q55" s="2"/>
      <c r="R55" s="6">
        <f t="shared" si="44"/>
        <v>0</v>
      </c>
      <c r="S55" s="2"/>
      <c r="T55" s="7">
        <v>17.55</v>
      </c>
      <c r="U55" s="2"/>
      <c r="V55" s="6">
        <f t="shared" si="45"/>
        <v>0</v>
      </c>
      <c r="W55" s="2"/>
      <c r="X55" s="7">
        <f t="shared" si="46"/>
        <v>12.849999999999998</v>
      </c>
      <c r="Y55" s="2"/>
      <c r="Z55" s="6">
        <f t="shared" si="47"/>
        <v>0.73219373219373207</v>
      </c>
    </row>
    <row r="56" spans="1:26" s="54" customFormat="1" x14ac:dyDescent="0.25">
      <c r="A56" s="37"/>
      <c r="B56" s="37"/>
      <c r="C56" s="37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6" t="s">
        <v>292</v>
      </c>
      <c r="C57" s="10"/>
      <c r="D57" s="4">
        <f>SUM(0)</f>
        <v>0</v>
      </c>
      <c r="E57" s="4"/>
      <c r="F57" s="12">
        <f>IF(D$12=0,0,D57/D$12)</f>
        <v>0</v>
      </c>
      <c r="G57" s="4"/>
      <c r="H57" s="4">
        <f>SUM(0)</f>
        <v>0</v>
      </c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>
        <f>SUM(0)</f>
        <v>0</v>
      </c>
      <c r="Q57" s="4"/>
      <c r="R57" s="12">
        <f>IF(P$12=0,0,P57/P$12)</f>
        <v>0</v>
      </c>
      <c r="S57" s="4"/>
      <c r="T57" s="4">
        <f>SUM(0)</f>
        <v>0</v>
      </c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5" t="s">
        <v>276</v>
      </c>
      <c r="C59" s="25"/>
      <c r="D59" s="21">
        <f>+D16-D18+D57</f>
        <v>-37567.949999999997</v>
      </c>
      <c r="E59" s="13"/>
      <c r="F59" s="22">
        <f>IF(D$12=0,0,D59/D$12)</f>
        <v>0</v>
      </c>
      <c r="G59" s="13"/>
      <c r="H59" s="21">
        <f>+H16-H18+H57</f>
        <v>-36054.399999999994</v>
      </c>
      <c r="I59" s="13"/>
      <c r="J59" s="22">
        <f>IF(H$12=0,0,H59/H$12)</f>
        <v>0</v>
      </c>
      <c r="K59" s="16"/>
      <c r="L59" s="21">
        <f>+D59-H59</f>
        <v>-1513.5500000000029</v>
      </c>
      <c r="M59" s="16"/>
      <c r="N59" s="22">
        <f>IF(H59=0,0,L59/H59)</f>
        <v>4.1979619685808198E-2</v>
      </c>
      <c r="O59" s="26"/>
      <c r="P59" s="21">
        <f>+P16-P18+P57</f>
        <v>-119859.4</v>
      </c>
      <c r="Q59" s="13"/>
      <c r="R59" s="22">
        <f>IF(P$12=0,0,P59/P$12)</f>
        <v>0</v>
      </c>
      <c r="S59" s="13"/>
      <c r="T59" s="21">
        <f>+T16-T18+T57</f>
        <v>-110046.29000000002</v>
      </c>
      <c r="U59" s="13"/>
      <c r="V59" s="22">
        <f>IF(T$12=0,0,T59/T$12)</f>
        <v>0</v>
      </c>
      <c r="W59" s="16"/>
      <c r="X59" s="21">
        <f>+P59-T59</f>
        <v>-9813.1099999999715</v>
      </c>
      <c r="Y59" s="16"/>
      <c r="Z59" s="22">
        <f>IF(T59=0,0,X59/T59)</f>
        <v>8.917256547222055E-2</v>
      </c>
    </row>
    <row r="60" spans="1:26" x14ac:dyDescent="0.25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51"/>
      <c r="B61" s="10" t="s">
        <v>127</v>
      </c>
      <c r="C61" s="10"/>
      <c r="D61" s="4"/>
      <c r="E61" s="4"/>
      <c r="F61" s="12">
        <f>IF(D$12=0,0,D61/D$12)</f>
        <v>0</v>
      </c>
      <c r="G61" s="4"/>
      <c r="H61" s="4"/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/>
      <c r="Q61" s="4"/>
      <c r="R61" s="12">
        <f>IF(P$12=0,0,P61/P$12)</f>
        <v>0</v>
      </c>
      <c r="S61" s="4"/>
      <c r="T61" s="4"/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5" t="s">
        <v>125</v>
      </c>
      <c r="C63" s="25"/>
      <c r="D63" s="33">
        <f>+D59-D61</f>
        <v>-37567.949999999997</v>
      </c>
      <c r="E63" s="13"/>
      <c r="F63" s="35">
        <f>IF(D$12=0,0,D63/D$12)</f>
        <v>0</v>
      </c>
      <c r="G63" s="13"/>
      <c r="H63" s="33">
        <f>+H59-H61</f>
        <v>-36054.399999999994</v>
      </c>
      <c r="I63" s="13"/>
      <c r="J63" s="35">
        <f>IF(H$12=0,0,H63/H$12)</f>
        <v>0</v>
      </c>
      <c r="K63" s="16"/>
      <c r="L63" s="33">
        <f>D63-H63</f>
        <v>-1513.5500000000029</v>
      </c>
      <c r="M63" s="16"/>
      <c r="N63" s="35">
        <f>IF(H63=0,0,L63/H63)</f>
        <v>4.1979619685808198E-2</v>
      </c>
      <c r="O63" s="26"/>
      <c r="P63" s="33">
        <f>+P59-P61</f>
        <v>-119859.4</v>
      </c>
      <c r="Q63" s="13"/>
      <c r="R63" s="35">
        <f>IF(P$12=0,0,P63/P$12)</f>
        <v>0</v>
      </c>
      <c r="S63" s="13"/>
      <c r="T63" s="33">
        <f>+T59-T61</f>
        <v>-110046.29000000002</v>
      </c>
      <c r="U63" s="13"/>
      <c r="V63" s="35">
        <f>IF(T$12=0,0,T63/T$12)</f>
        <v>0</v>
      </c>
      <c r="W63" s="16"/>
      <c r="X63" s="33">
        <f>P63-T63</f>
        <v>-9813.1099999999715</v>
      </c>
      <c r="Y63" s="16"/>
      <c r="Z63" s="35">
        <f>IF(T63=0,0,X63/T63)</f>
        <v>8.917256547222055E-2</v>
      </c>
    </row>
    <row r="64" spans="1:26" ht="15.75" thickTop="1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5" t="s">
        <v>293</v>
      </c>
      <c r="C66" s="25"/>
      <c r="D66" s="31">
        <f>SUM(D63:D65)</f>
        <v>-37567.949999999997</v>
      </c>
      <c r="E66" s="13"/>
      <c r="F66" s="32">
        <f>IF(D$12=0,0,D66/D$12)</f>
        <v>0</v>
      </c>
      <c r="G66" s="13"/>
      <c r="H66" s="31">
        <f>SUM(H63:H65)</f>
        <v>-36054.399999999994</v>
      </c>
      <c r="I66" s="13"/>
      <c r="J66" s="32">
        <f>IF(H$12=0,0,H66/H$12)</f>
        <v>0</v>
      </c>
      <c r="K66" s="16"/>
      <c r="L66" s="31">
        <f>+D66-H66</f>
        <v>-1513.5500000000029</v>
      </c>
      <c r="M66" s="16"/>
      <c r="N66" s="32">
        <f>IF(H66=0,0,L66/H66)</f>
        <v>4.1979619685808198E-2</v>
      </c>
      <c r="O66" s="26"/>
      <c r="P66" s="31">
        <f>SUM(P63:P65)</f>
        <v>-119859.4</v>
      </c>
      <c r="Q66" s="13"/>
      <c r="R66" s="32">
        <f>IF(P$12=0,0,P66/P$12)</f>
        <v>0</v>
      </c>
      <c r="S66" s="13"/>
      <c r="T66" s="31">
        <f>SUM(T63:T65)</f>
        <v>-110046.29000000002</v>
      </c>
      <c r="U66" s="13"/>
      <c r="V66" s="32">
        <f>IF(T$12=0,0,T66/T$12)</f>
        <v>0</v>
      </c>
      <c r="W66" s="16"/>
      <c r="X66" s="31">
        <f>+P66-T66</f>
        <v>-9813.1099999999715</v>
      </c>
      <c r="Y66" s="16"/>
      <c r="Z66" s="32">
        <f>IF(T66=0,0,X66/T66)</f>
        <v>8.917256547222055E-2</v>
      </c>
    </row>
    <row r="67" spans="1:26" ht="15.75" thickTop="1" x14ac:dyDescent="0.25">
      <c r="A67" s="9"/>
      <c r="C67" s="9"/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58">
        <v>44481.985668518515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3" t="s">
        <v>56</v>
      </c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52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","203", " - ", "Human Resources")</f>
        <v>Department 203 - Human Resources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47199.599999999991</v>
      </c>
      <c r="E18" s="20"/>
      <c r="F18" s="30">
        <f t="shared" ref="F18:F28" si="0">IF(D$12=0,0,D18/D$12)</f>
        <v>0</v>
      </c>
      <c r="G18" s="20"/>
      <c r="H18" s="20">
        <f>SUM(OSRRefH22x_0)</f>
        <v>42643.45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4556.1499999999942</v>
      </c>
      <c r="M18" s="4"/>
      <c r="N18" s="30">
        <f t="shared" ref="N18:N28" si="3">IF(H18=0,0,L18/H18)</f>
        <v>0.10684290318911802</v>
      </c>
      <c r="O18" s="10"/>
      <c r="P18" s="20">
        <f>SUM(OSRRefP22x_0)</f>
        <v>153727.94999999995</v>
      </c>
      <c r="Q18" s="20"/>
      <c r="R18" s="30">
        <f t="shared" ref="R18:R28" si="4">IF(P$12=0,0,P18/P$12)</f>
        <v>0</v>
      </c>
      <c r="S18" s="20"/>
      <c r="T18" s="20">
        <f>SUM(OSRRefT22x_0)</f>
        <v>134979.03999999998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18748.909999999974</v>
      </c>
      <c r="Y18" s="4"/>
      <c r="Z18" s="30">
        <f t="shared" ref="Z18:Z28" si="7">IF(T18=0,0,X18/T18)</f>
        <v>0.13890238069555078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13275.89</v>
      </c>
      <c r="E19" s="1"/>
      <c r="F19" s="5">
        <f t="shared" si="0"/>
        <v>0</v>
      </c>
      <c r="G19" s="1"/>
      <c r="H19" s="1">
        <f>SUM(OSRRefH22_0x_0)</f>
        <v>12403.79</v>
      </c>
      <c r="I19" s="1"/>
      <c r="J19" s="5">
        <f t="shared" si="1"/>
        <v>0</v>
      </c>
      <c r="K19" s="1"/>
      <c r="L19" s="1">
        <f t="shared" si="2"/>
        <v>872.09999999999854</v>
      </c>
      <c r="M19" s="1"/>
      <c r="N19" s="5">
        <f t="shared" si="3"/>
        <v>7.0309155508114743E-2</v>
      </c>
      <c r="O19" s="14"/>
      <c r="P19" s="1">
        <f>SUM(OSRRefP22_0x_0)</f>
        <v>40434.159999999996</v>
      </c>
      <c r="Q19" s="1"/>
      <c r="R19" s="5">
        <f t="shared" si="4"/>
        <v>0</v>
      </c>
      <c r="S19" s="1"/>
      <c r="T19" s="1">
        <f>SUM(OSRRefT22_0x_0)</f>
        <v>36781.879999999997</v>
      </c>
      <c r="U19" s="1"/>
      <c r="V19" s="5">
        <f t="shared" si="5"/>
        <v>0</v>
      </c>
      <c r="W19" s="1"/>
      <c r="X19" s="1">
        <f t="shared" si="6"/>
        <v>3652.2799999999988</v>
      </c>
      <c r="Y19" s="1"/>
      <c r="Z19" s="5">
        <f t="shared" si="7"/>
        <v>9.9295631435913523E-2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2089.84</v>
      </c>
      <c r="E20" s="2"/>
      <c r="F20" s="6">
        <f t="shared" si="0"/>
        <v>0</v>
      </c>
      <c r="G20" s="2"/>
      <c r="H20" s="7">
        <v>2070.71</v>
      </c>
      <c r="I20" s="2"/>
      <c r="J20" s="6">
        <f t="shared" si="1"/>
        <v>0</v>
      </c>
      <c r="K20" s="2"/>
      <c r="L20" s="7">
        <f t="shared" si="2"/>
        <v>19.130000000000109</v>
      </c>
      <c r="M20" s="2"/>
      <c r="N20" s="6">
        <f t="shared" si="3"/>
        <v>9.2383771749786833E-3</v>
      </c>
      <c r="O20" s="11"/>
      <c r="P20" s="7">
        <v>6273.42</v>
      </c>
      <c r="Q20" s="2"/>
      <c r="R20" s="6">
        <f t="shared" si="4"/>
        <v>0</v>
      </c>
      <c r="S20" s="2"/>
      <c r="T20" s="7">
        <v>5974.04</v>
      </c>
      <c r="U20" s="2"/>
      <c r="V20" s="6">
        <f t="shared" si="5"/>
        <v>0</v>
      </c>
      <c r="W20" s="2"/>
      <c r="X20" s="7">
        <f t="shared" si="6"/>
        <v>299.38000000000011</v>
      </c>
      <c r="Y20" s="2"/>
      <c r="Z20" s="6">
        <f t="shared" si="7"/>
        <v>5.0113491037890624E-2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350.94</v>
      </c>
      <c r="E21" s="2"/>
      <c r="F21" s="6">
        <f t="shared" si="0"/>
        <v>0</v>
      </c>
      <c r="G21" s="2"/>
      <c r="H21" s="7">
        <v>87.64</v>
      </c>
      <c r="I21" s="2"/>
      <c r="J21" s="6">
        <f t="shared" si="1"/>
        <v>0</v>
      </c>
      <c r="K21" s="2"/>
      <c r="L21" s="7">
        <f t="shared" si="2"/>
        <v>263.3</v>
      </c>
      <c r="M21" s="2"/>
      <c r="N21" s="6">
        <f t="shared" si="3"/>
        <v>3.0043359196713832</v>
      </c>
      <c r="O21" s="11"/>
      <c r="P21" s="7">
        <v>1052.7</v>
      </c>
      <c r="Q21" s="2"/>
      <c r="R21" s="6">
        <f t="shared" si="4"/>
        <v>0</v>
      </c>
      <c r="S21" s="2"/>
      <c r="T21" s="7">
        <v>255.71</v>
      </c>
      <c r="U21" s="2"/>
      <c r="V21" s="6">
        <f t="shared" si="5"/>
        <v>0</v>
      </c>
      <c r="W21" s="2"/>
      <c r="X21" s="7">
        <f t="shared" si="6"/>
        <v>796.99</v>
      </c>
      <c r="Y21" s="2"/>
      <c r="Z21" s="6">
        <f t="shared" si="7"/>
        <v>3.1167729068084937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6082.69</v>
      </c>
      <c r="E22" s="2"/>
      <c r="F22" s="6">
        <f t="shared" si="0"/>
        <v>0</v>
      </c>
      <c r="G22" s="2"/>
      <c r="H22" s="7">
        <v>6091.67</v>
      </c>
      <c r="I22" s="2"/>
      <c r="J22" s="6">
        <f t="shared" si="1"/>
        <v>0</v>
      </c>
      <c r="K22" s="2"/>
      <c r="L22" s="7">
        <f t="shared" si="2"/>
        <v>-8.9800000000004729</v>
      </c>
      <c r="M22" s="2"/>
      <c r="N22" s="6">
        <f t="shared" si="3"/>
        <v>-1.4741442001947698E-3</v>
      </c>
      <c r="O22" s="11"/>
      <c r="P22" s="7">
        <v>18180.57</v>
      </c>
      <c r="Q22" s="2"/>
      <c r="R22" s="6">
        <f t="shared" si="4"/>
        <v>0</v>
      </c>
      <c r="S22" s="2"/>
      <c r="T22" s="7">
        <v>18275.009999999998</v>
      </c>
      <c r="U22" s="2"/>
      <c r="V22" s="6">
        <f t="shared" si="5"/>
        <v>0</v>
      </c>
      <c r="W22" s="2"/>
      <c r="X22" s="7">
        <f t="shared" si="6"/>
        <v>-94.43999999999869</v>
      </c>
      <c r="Y22" s="2"/>
      <c r="Z22" s="6">
        <f t="shared" si="7"/>
        <v>-5.1677126305265334E-3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70.73</v>
      </c>
      <c r="E23" s="2"/>
      <c r="F23" s="6">
        <f t="shared" si="0"/>
        <v>0</v>
      </c>
      <c r="G23" s="2"/>
      <c r="H23" s="7">
        <v>69.05</v>
      </c>
      <c r="I23" s="2"/>
      <c r="J23" s="6">
        <f t="shared" si="1"/>
        <v>0</v>
      </c>
      <c r="K23" s="2"/>
      <c r="L23" s="7">
        <f t="shared" si="2"/>
        <v>1.6800000000000068</v>
      </c>
      <c r="M23" s="2"/>
      <c r="N23" s="6">
        <f t="shared" si="3"/>
        <v>2.4330195510499739E-2</v>
      </c>
      <c r="O23" s="11"/>
      <c r="P23" s="7">
        <v>212.17</v>
      </c>
      <c r="Q23" s="2"/>
      <c r="R23" s="6">
        <f t="shared" si="4"/>
        <v>0</v>
      </c>
      <c r="S23" s="2"/>
      <c r="T23" s="7">
        <v>201.47</v>
      </c>
      <c r="U23" s="2"/>
      <c r="V23" s="6">
        <f t="shared" si="5"/>
        <v>0</v>
      </c>
      <c r="W23" s="2"/>
      <c r="X23" s="7">
        <f t="shared" si="6"/>
        <v>10.699999999999989</v>
      </c>
      <c r="Y23" s="2"/>
      <c r="Z23" s="6">
        <f t="shared" si="7"/>
        <v>5.3109644115749186E-2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1238.02</v>
      </c>
      <c r="E24" s="2"/>
      <c r="F24" s="6">
        <f t="shared" si="0"/>
        <v>0</v>
      </c>
      <c r="G24" s="2"/>
      <c r="H24" s="7">
        <v>1091.48</v>
      </c>
      <c r="I24" s="2"/>
      <c r="J24" s="6">
        <f t="shared" si="1"/>
        <v>0</v>
      </c>
      <c r="K24" s="2"/>
      <c r="L24" s="7">
        <f t="shared" si="2"/>
        <v>146.53999999999996</v>
      </c>
      <c r="M24" s="2"/>
      <c r="N24" s="6">
        <f t="shared" si="3"/>
        <v>0.13425807160919115</v>
      </c>
      <c r="O24" s="11"/>
      <c r="P24" s="7">
        <v>3714.06</v>
      </c>
      <c r="Q24" s="2"/>
      <c r="R24" s="6">
        <f t="shared" si="4"/>
        <v>0</v>
      </c>
      <c r="S24" s="2"/>
      <c r="T24" s="7">
        <v>3820.18</v>
      </c>
      <c r="U24" s="2"/>
      <c r="V24" s="6">
        <f t="shared" si="5"/>
        <v>0</v>
      </c>
      <c r="W24" s="2"/>
      <c r="X24" s="7">
        <f t="shared" si="6"/>
        <v>-106.11999999999989</v>
      </c>
      <c r="Y24" s="2"/>
      <c r="Z24" s="6">
        <f t="shared" si="7"/>
        <v>-2.7778795763550381E-2</v>
      </c>
    </row>
    <row r="25" spans="1:26" s="24" customFormat="1" hidden="1" outlineLevel="2" x14ac:dyDescent="0.25">
      <c r="A25" s="28"/>
      <c r="B25" s="11" t="str">
        <f>CONCATENATE("          ", "6117", " - ", "RETIREMENT STAFF HOURLY")</f>
        <v xml:space="preserve">          6117 - RETIREMENT STAFF HOURLY</v>
      </c>
      <c r="C25" s="11"/>
      <c r="D25" s="7">
        <v>307.75</v>
      </c>
      <c r="E25" s="2"/>
      <c r="F25" s="6">
        <f t="shared" si="0"/>
        <v>0</v>
      </c>
      <c r="G25" s="2"/>
      <c r="H25" s="7">
        <v>640.66999999999996</v>
      </c>
      <c r="I25" s="2"/>
      <c r="J25" s="6">
        <f t="shared" si="1"/>
        <v>0</v>
      </c>
      <c r="K25" s="2"/>
      <c r="L25" s="7">
        <f t="shared" si="2"/>
        <v>-332.91999999999996</v>
      </c>
      <c r="M25" s="2"/>
      <c r="N25" s="6">
        <f t="shared" si="3"/>
        <v>-0.51964349821280842</v>
      </c>
      <c r="O25" s="11"/>
      <c r="P25" s="7">
        <v>1850.43</v>
      </c>
      <c r="Q25" s="2"/>
      <c r="R25" s="6">
        <f t="shared" si="4"/>
        <v>0</v>
      </c>
      <c r="S25" s="2"/>
      <c r="T25" s="7">
        <v>2077.13</v>
      </c>
      <c r="U25" s="2"/>
      <c r="V25" s="6">
        <f t="shared" si="5"/>
        <v>0</v>
      </c>
      <c r="W25" s="2"/>
      <c r="X25" s="7">
        <f t="shared" si="6"/>
        <v>-226.70000000000005</v>
      </c>
      <c r="Y25" s="2"/>
      <c r="Z25" s="6">
        <f t="shared" si="7"/>
        <v>-0.10914097817661872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7">
        <v>1769.48</v>
      </c>
      <c r="E26" s="2"/>
      <c r="F26" s="6">
        <f t="shared" si="0"/>
        <v>0</v>
      </c>
      <c r="G26" s="2"/>
      <c r="H26" s="7">
        <v>1392.7</v>
      </c>
      <c r="I26" s="2"/>
      <c r="J26" s="6">
        <f t="shared" si="1"/>
        <v>0</v>
      </c>
      <c r="K26" s="2"/>
      <c r="L26" s="7">
        <f t="shared" si="2"/>
        <v>376.78</v>
      </c>
      <c r="M26" s="2"/>
      <c r="N26" s="6">
        <f t="shared" si="3"/>
        <v>0.2705392403245494</v>
      </c>
      <c r="O26" s="11"/>
      <c r="P26" s="7">
        <v>5308.44</v>
      </c>
      <c r="Q26" s="2"/>
      <c r="R26" s="6">
        <f t="shared" si="4"/>
        <v>0</v>
      </c>
      <c r="S26" s="2"/>
      <c r="T26" s="7">
        <v>3339.53</v>
      </c>
      <c r="U26" s="2"/>
      <c r="V26" s="6">
        <f t="shared" si="5"/>
        <v>0</v>
      </c>
      <c r="W26" s="2"/>
      <c r="X26" s="7">
        <f t="shared" si="6"/>
        <v>1968.9099999999994</v>
      </c>
      <c r="Y26" s="2"/>
      <c r="Z26" s="6">
        <f t="shared" si="7"/>
        <v>0.58957697640087059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7">
        <v>1161.08</v>
      </c>
      <c r="E27" s="2"/>
      <c r="F27" s="6">
        <f t="shared" si="0"/>
        <v>0</v>
      </c>
      <c r="G27" s="2"/>
      <c r="H27" s="7">
        <v>908.12</v>
      </c>
      <c r="I27" s="2"/>
      <c r="J27" s="6">
        <f t="shared" si="1"/>
        <v>0</v>
      </c>
      <c r="K27" s="2"/>
      <c r="L27" s="7">
        <f t="shared" si="2"/>
        <v>252.95999999999992</v>
      </c>
      <c r="M27" s="2"/>
      <c r="N27" s="6">
        <f t="shared" si="3"/>
        <v>0.27855349513280175</v>
      </c>
      <c r="O27" s="11"/>
      <c r="P27" s="7">
        <v>3483.24</v>
      </c>
      <c r="Q27" s="2"/>
      <c r="R27" s="6">
        <f t="shared" si="4"/>
        <v>0</v>
      </c>
      <c r="S27" s="2"/>
      <c r="T27" s="7">
        <v>2724.36</v>
      </c>
      <c r="U27" s="2"/>
      <c r="V27" s="6">
        <f t="shared" si="5"/>
        <v>0</v>
      </c>
      <c r="W27" s="2"/>
      <c r="X27" s="7">
        <f t="shared" si="6"/>
        <v>758.87999999999965</v>
      </c>
      <c r="Y27" s="2"/>
      <c r="Z27" s="6">
        <f t="shared" si="7"/>
        <v>0.2785534951328017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7">
        <v>205.36</v>
      </c>
      <c r="E28" s="2"/>
      <c r="F28" s="6">
        <f t="shared" si="0"/>
        <v>0</v>
      </c>
      <c r="G28" s="2"/>
      <c r="H28" s="7">
        <v>51.75</v>
      </c>
      <c r="I28" s="2"/>
      <c r="J28" s="6">
        <f t="shared" si="1"/>
        <v>0</v>
      </c>
      <c r="K28" s="2"/>
      <c r="L28" s="7">
        <f t="shared" si="2"/>
        <v>153.61000000000001</v>
      </c>
      <c r="M28" s="2"/>
      <c r="N28" s="6">
        <f t="shared" si="3"/>
        <v>2.9683091787439615</v>
      </c>
      <c r="O28" s="11"/>
      <c r="P28" s="7">
        <v>359.13</v>
      </c>
      <c r="Q28" s="2"/>
      <c r="R28" s="6">
        <f t="shared" si="4"/>
        <v>0</v>
      </c>
      <c r="S28" s="2"/>
      <c r="T28" s="7">
        <v>114.45</v>
      </c>
      <c r="U28" s="2"/>
      <c r="V28" s="6">
        <f t="shared" si="5"/>
        <v>0</v>
      </c>
      <c r="W28" s="2"/>
      <c r="X28" s="7">
        <f t="shared" si="6"/>
        <v>244.68</v>
      </c>
      <c r="Y28" s="2"/>
      <c r="Z28" s="6">
        <f t="shared" si="7"/>
        <v>2.1378768020969856</v>
      </c>
    </row>
    <row r="29" spans="1:26" s="27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26130.02</v>
      </c>
      <c r="E29" s="1"/>
      <c r="F29" s="5">
        <f t="shared" ref="F29:F33" si="8">IF(D$12=0,0,D29/D$12)</f>
        <v>0</v>
      </c>
      <c r="G29" s="1"/>
      <c r="H29" s="1">
        <f>SUM(OSRRefH22_1x_0)</f>
        <v>24815.739999999998</v>
      </c>
      <c r="I29" s="1"/>
      <c r="J29" s="5">
        <f t="shared" ref="J29:J33" si="9">IF(H$12=0,0,H29/H$12)</f>
        <v>0</v>
      </c>
      <c r="K29" s="1"/>
      <c r="L29" s="1">
        <f t="shared" ref="L29:L33" si="10">+D29-H29</f>
        <v>1314.2800000000025</v>
      </c>
      <c r="M29" s="1"/>
      <c r="N29" s="5">
        <f t="shared" ref="N29:N33" si="11">IF(H29=0,0,L29/H29)</f>
        <v>5.2961547791845122E-2</v>
      </c>
      <c r="O29" s="14"/>
      <c r="P29" s="1">
        <f>SUM(OSRRefP22_1x_0)</f>
        <v>84655.260000000009</v>
      </c>
      <c r="Q29" s="1"/>
      <c r="R29" s="5">
        <f t="shared" ref="R29:R33" si="12">IF(P$12=0,0,P29/P$12)</f>
        <v>0</v>
      </c>
      <c r="S29" s="1"/>
      <c r="T29" s="1">
        <f>SUM(OSRRefT22_1x_0)</f>
        <v>81351.070000000007</v>
      </c>
      <c r="U29" s="1"/>
      <c r="V29" s="5">
        <f t="shared" ref="V29:V33" si="13">IF(T$12=0,0,T29/T$12)</f>
        <v>0</v>
      </c>
      <c r="W29" s="1"/>
      <c r="X29" s="1">
        <f t="shared" ref="X29:X33" si="14">+P29-T29</f>
        <v>3304.1900000000023</v>
      </c>
      <c r="Y29" s="1"/>
      <c r="Z29" s="5">
        <f t="shared" ref="Z29:Z33" si="15">IF(T29=0,0,X29/T29)</f>
        <v>4.0616429507319349E-2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7">
        <v>10240.99</v>
      </c>
      <c r="E30" s="2"/>
      <c r="F30" s="6">
        <f t="shared" si="8"/>
        <v>0</v>
      </c>
      <c r="G30" s="2"/>
      <c r="H30" s="7">
        <v>8410.48</v>
      </c>
      <c r="I30" s="2"/>
      <c r="J30" s="6">
        <f t="shared" si="9"/>
        <v>0</v>
      </c>
      <c r="K30" s="2"/>
      <c r="L30" s="7">
        <f t="shared" si="10"/>
        <v>1830.5100000000002</v>
      </c>
      <c r="M30" s="2"/>
      <c r="N30" s="6">
        <f t="shared" si="11"/>
        <v>0.21764631745156046</v>
      </c>
      <c r="O30" s="11"/>
      <c r="P30" s="7">
        <v>34705.870000000003</v>
      </c>
      <c r="Q30" s="2"/>
      <c r="R30" s="6">
        <f t="shared" si="12"/>
        <v>0</v>
      </c>
      <c r="S30" s="2"/>
      <c r="T30" s="7">
        <v>29684.38</v>
      </c>
      <c r="U30" s="2"/>
      <c r="V30" s="6">
        <f t="shared" si="13"/>
        <v>0</v>
      </c>
      <c r="W30" s="2"/>
      <c r="X30" s="7">
        <f t="shared" si="14"/>
        <v>5021.4900000000016</v>
      </c>
      <c r="Y30" s="2"/>
      <c r="Z30" s="6">
        <f t="shared" si="15"/>
        <v>0.16916270442569464</v>
      </c>
    </row>
    <row r="31" spans="1:26" s="24" customFormat="1" hidden="1" outlineLevel="2" x14ac:dyDescent="0.25">
      <c r="A31" s="28"/>
      <c r="B31" s="11" t="str">
        <f>CONCATENATE("          ", "6004", " - ", "STAFF HOURLY")</f>
        <v xml:space="preserve">          6004 - STAFF HOURLY</v>
      </c>
      <c r="C31" s="11"/>
      <c r="D31" s="7">
        <v>13719.78</v>
      </c>
      <c r="E31" s="2"/>
      <c r="F31" s="6">
        <f t="shared" si="8"/>
        <v>0</v>
      </c>
      <c r="G31" s="2"/>
      <c r="H31" s="7">
        <v>11094.14</v>
      </c>
      <c r="I31" s="2"/>
      <c r="J31" s="6">
        <f t="shared" si="9"/>
        <v>0</v>
      </c>
      <c r="K31" s="2"/>
      <c r="L31" s="7">
        <f t="shared" si="10"/>
        <v>2625.6400000000012</v>
      </c>
      <c r="M31" s="2"/>
      <c r="N31" s="6">
        <f t="shared" si="11"/>
        <v>0.23666908836556969</v>
      </c>
      <c r="O31" s="11"/>
      <c r="P31" s="7">
        <v>41216.89</v>
      </c>
      <c r="Q31" s="2"/>
      <c r="R31" s="6">
        <f t="shared" si="12"/>
        <v>0</v>
      </c>
      <c r="S31" s="2"/>
      <c r="T31" s="7">
        <v>30335.49</v>
      </c>
      <c r="U31" s="2"/>
      <c r="V31" s="6">
        <f t="shared" si="13"/>
        <v>0</v>
      </c>
      <c r="W31" s="2"/>
      <c r="X31" s="7">
        <f t="shared" si="14"/>
        <v>10881.399999999998</v>
      </c>
      <c r="Y31" s="2"/>
      <c r="Z31" s="6">
        <f t="shared" si="15"/>
        <v>0.35870196921163949</v>
      </c>
    </row>
    <row r="32" spans="1:26" s="24" customFormat="1" hidden="1" outlineLevel="2" x14ac:dyDescent="0.25">
      <c r="A32" s="28"/>
      <c r="B32" s="11" t="str">
        <f>CONCATENATE("          ", "6005", " - ", "TEMPORARY WAGES-HOURLY")</f>
        <v xml:space="preserve">          6005 - TEMPORARY WAGES-HOURLY</v>
      </c>
      <c r="C32" s="11"/>
      <c r="D32" s="7">
        <v>1613.25</v>
      </c>
      <c r="E32" s="2"/>
      <c r="F32" s="6">
        <f t="shared" si="8"/>
        <v>0</v>
      </c>
      <c r="G32" s="2"/>
      <c r="H32" s="7">
        <v>5985.12</v>
      </c>
      <c r="I32" s="2"/>
      <c r="J32" s="6">
        <f t="shared" si="9"/>
        <v>0</v>
      </c>
      <c r="K32" s="2"/>
      <c r="L32" s="7">
        <f t="shared" si="10"/>
        <v>-4371.87</v>
      </c>
      <c r="M32" s="2"/>
      <c r="N32" s="6">
        <f t="shared" si="11"/>
        <v>-0.73045653219985562</v>
      </c>
      <c r="O32" s="11"/>
      <c r="P32" s="7">
        <v>4614.5</v>
      </c>
      <c r="Q32" s="2"/>
      <c r="R32" s="6">
        <f t="shared" si="12"/>
        <v>0</v>
      </c>
      <c r="S32" s="2"/>
      <c r="T32" s="7">
        <v>17625.2</v>
      </c>
      <c r="U32" s="2"/>
      <c r="V32" s="6">
        <f t="shared" si="13"/>
        <v>0</v>
      </c>
      <c r="W32" s="2"/>
      <c r="X32" s="7">
        <f t="shared" si="14"/>
        <v>-13010.7</v>
      </c>
      <c r="Y32" s="2"/>
      <c r="Z32" s="6">
        <f t="shared" si="15"/>
        <v>-0.73818736808660324</v>
      </c>
    </row>
    <row r="33" spans="1:26" s="24" customFormat="1" hidden="1" outlineLevel="2" x14ac:dyDescent="0.25">
      <c r="A33" s="28"/>
      <c r="B33" s="11" t="str">
        <f>CONCATENATE("          ", "6007", " - ", "STUDENT HOURLY")</f>
        <v xml:space="preserve">          6007 - STUDENT HOURLY</v>
      </c>
      <c r="C33" s="11"/>
      <c r="D33" s="7">
        <v>556</v>
      </c>
      <c r="E33" s="2"/>
      <c r="F33" s="6">
        <f t="shared" si="8"/>
        <v>0</v>
      </c>
      <c r="G33" s="2"/>
      <c r="H33" s="7">
        <v>-674</v>
      </c>
      <c r="I33" s="2"/>
      <c r="J33" s="6">
        <f t="shared" si="9"/>
        <v>0</v>
      </c>
      <c r="K33" s="2"/>
      <c r="L33" s="7">
        <f t="shared" si="10"/>
        <v>1230</v>
      </c>
      <c r="M33" s="2"/>
      <c r="N33" s="6">
        <f t="shared" si="11"/>
        <v>-1.8249258160237389</v>
      </c>
      <c r="O33" s="11"/>
      <c r="P33" s="7">
        <v>4118</v>
      </c>
      <c r="Q33" s="2"/>
      <c r="R33" s="6">
        <f t="shared" si="12"/>
        <v>0</v>
      </c>
      <c r="S33" s="2"/>
      <c r="T33" s="7">
        <v>3706</v>
      </c>
      <c r="U33" s="2"/>
      <c r="V33" s="6">
        <f t="shared" si="13"/>
        <v>0</v>
      </c>
      <c r="W33" s="2"/>
      <c r="X33" s="7">
        <f t="shared" si="14"/>
        <v>412</v>
      </c>
      <c r="Y33" s="2"/>
      <c r="Z33" s="6">
        <f t="shared" si="15"/>
        <v>0.11117107393416081</v>
      </c>
    </row>
    <row r="34" spans="1:26" s="27" customFormat="1" outlineLevel="1" collapsed="1" x14ac:dyDescent="0.25">
      <c r="A34" s="29"/>
      <c r="B34" s="14" t="str">
        <f>CONCATENATE("     ","Employees' Appreciation                           ")</f>
        <v xml:space="preserve">     Employees' Appreciation                           </v>
      </c>
      <c r="C34" s="14"/>
      <c r="D34" s="1">
        <f>SUM(OSRRefD22_2x_0)</f>
        <v>0</v>
      </c>
      <c r="E34" s="1"/>
      <c r="F34" s="5">
        <f t="shared" ref="F34:F44" si="16">IF(D$12=0,0,D34/D$12)</f>
        <v>0</v>
      </c>
      <c r="G34" s="1"/>
      <c r="H34" s="1">
        <f>SUM(OSRRefH22_2x_0)</f>
        <v>0</v>
      </c>
      <c r="I34" s="1"/>
      <c r="J34" s="5">
        <f t="shared" ref="J34:J44" si="17">IF(H$12=0,0,H34/H$12)</f>
        <v>0</v>
      </c>
      <c r="K34" s="1"/>
      <c r="L34" s="1">
        <f t="shared" ref="L34:L44" si="18">+D34-H34</f>
        <v>0</v>
      </c>
      <c r="M34" s="1"/>
      <c r="N34" s="5">
        <f t="shared" ref="N34:N44" si="19">IF(H34=0,0,L34/H34)</f>
        <v>0</v>
      </c>
      <c r="O34" s="14"/>
      <c r="P34" s="1">
        <f>SUM(OSRRefP22_2x_0)</f>
        <v>0</v>
      </c>
      <c r="Q34" s="1"/>
      <c r="R34" s="5">
        <f t="shared" ref="R34:R44" si="20">IF(P$12=0,0,P34/P$12)</f>
        <v>0</v>
      </c>
      <c r="S34" s="1"/>
      <c r="T34" s="1">
        <f>SUM(OSRRefT22_2x_0)</f>
        <v>81.56</v>
      </c>
      <c r="U34" s="1"/>
      <c r="V34" s="5">
        <f t="shared" ref="V34:V44" si="21">IF(T$12=0,0,T34/T$12)</f>
        <v>0</v>
      </c>
      <c r="W34" s="1"/>
      <c r="X34" s="1">
        <f t="shared" ref="X34:X44" si="22">+P34-T34</f>
        <v>-81.56</v>
      </c>
      <c r="Y34" s="1"/>
      <c r="Z34" s="5">
        <f t="shared" ref="Z34:Z44" si="23">IF(T34=0,0,X34/T34)</f>
        <v>-1</v>
      </c>
    </row>
    <row r="35" spans="1:26" s="24" customFormat="1" hidden="1" outlineLevel="2" x14ac:dyDescent="0.25">
      <c r="A35" s="28"/>
      <c r="B35" s="11" t="str">
        <f>CONCATENATE("          ", "6277", " - ", "EMPLOYEE APPRECIATION")</f>
        <v xml:space="preserve">          6277 - EMPLOYEE APPRECIATION</v>
      </c>
      <c r="C35" s="11"/>
      <c r="D35" s="7"/>
      <c r="E35" s="2"/>
      <c r="F35" s="6">
        <f t="shared" si="16"/>
        <v>0</v>
      </c>
      <c r="G35" s="2"/>
      <c r="H35" s="7"/>
      <c r="I35" s="2"/>
      <c r="J35" s="6">
        <f t="shared" si="17"/>
        <v>0</v>
      </c>
      <c r="K35" s="2"/>
      <c r="L35" s="7">
        <f t="shared" si="18"/>
        <v>0</v>
      </c>
      <c r="M35" s="2"/>
      <c r="N35" s="6">
        <f t="shared" si="19"/>
        <v>0</v>
      </c>
      <c r="O35" s="11"/>
      <c r="P35" s="7"/>
      <c r="Q35" s="2"/>
      <c r="R35" s="6">
        <f t="shared" si="20"/>
        <v>0</v>
      </c>
      <c r="S35" s="2"/>
      <c r="T35" s="7">
        <v>81.56</v>
      </c>
      <c r="U35" s="2"/>
      <c r="V35" s="6">
        <f t="shared" si="21"/>
        <v>0</v>
      </c>
      <c r="W35" s="2"/>
      <c r="X35" s="7">
        <f t="shared" si="22"/>
        <v>-81.56</v>
      </c>
      <c r="Y35" s="2"/>
      <c r="Z35" s="6">
        <f t="shared" si="23"/>
        <v>-1</v>
      </c>
    </row>
    <row r="36" spans="1:26" s="27" customFormat="1" outlineLevel="1" collapsed="1" x14ac:dyDescent="0.25">
      <c r="A36" s="29"/>
      <c r="B36" s="14" t="str">
        <f>CONCATENATE("     ","Freight out/Postage                               ")</f>
        <v xml:space="preserve">     Freight out/Postage                               </v>
      </c>
      <c r="C36" s="14"/>
      <c r="D36" s="1">
        <f>SUM(OSRRefD22_3x_0)</f>
        <v>52.08</v>
      </c>
      <c r="E36" s="1"/>
      <c r="F36" s="5">
        <f t="shared" si="16"/>
        <v>0</v>
      </c>
      <c r="G36" s="1"/>
      <c r="H36" s="1">
        <f>SUM(OSRRefH22_3x_0)</f>
        <v>12.15</v>
      </c>
      <c r="I36" s="1"/>
      <c r="J36" s="5">
        <f t="shared" si="17"/>
        <v>0</v>
      </c>
      <c r="K36" s="1"/>
      <c r="L36" s="1">
        <f t="shared" si="18"/>
        <v>39.93</v>
      </c>
      <c r="M36" s="1"/>
      <c r="N36" s="5">
        <f t="shared" si="19"/>
        <v>3.2864197530864194</v>
      </c>
      <c r="O36" s="14"/>
      <c r="P36" s="1">
        <f>SUM(OSRRefP22_3x_0)</f>
        <v>128.34</v>
      </c>
      <c r="Q36" s="1"/>
      <c r="R36" s="5">
        <f t="shared" si="20"/>
        <v>0</v>
      </c>
      <c r="S36" s="1"/>
      <c r="T36" s="1">
        <f>SUM(OSRRefT22_3x_0)</f>
        <v>51.8</v>
      </c>
      <c r="U36" s="1"/>
      <c r="V36" s="5">
        <f t="shared" si="21"/>
        <v>0</v>
      </c>
      <c r="W36" s="1"/>
      <c r="X36" s="1">
        <f t="shared" si="22"/>
        <v>76.540000000000006</v>
      </c>
      <c r="Y36" s="1"/>
      <c r="Z36" s="5">
        <f t="shared" si="23"/>
        <v>1.4776061776061777</v>
      </c>
    </row>
    <row r="37" spans="1:26" s="24" customFormat="1" hidden="1" outlineLevel="2" x14ac:dyDescent="0.25">
      <c r="A37" s="28"/>
      <c r="B37" s="11" t="str">
        <f>CONCATENATE("          ", "6307", " - ", "POSTAGE")</f>
        <v xml:space="preserve">          6307 - POSTAGE</v>
      </c>
      <c r="C37" s="11"/>
      <c r="D37" s="7">
        <v>52.08</v>
      </c>
      <c r="E37" s="2"/>
      <c r="F37" s="6">
        <f t="shared" si="16"/>
        <v>0</v>
      </c>
      <c r="G37" s="2"/>
      <c r="H37" s="7">
        <v>12.15</v>
      </c>
      <c r="I37" s="2"/>
      <c r="J37" s="6">
        <f t="shared" si="17"/>
        <v>0</v>
      </c>
      <c r="K37" s="2"/>
      <c r="L37" s="7">
        <f t="shared" si="18"/>
        <v>39.93</v>
      </c>
      <c r="M37" s="2"/>
      <c r="N37" s="6">
        <f t="shared" si="19"/>
        <v>3.2864197530864194</v>
      </c>
      <c r="O37" s="11"/>
      <c r="P37" s="7">
        <v>128.34</v>
      </c>
      <c r="Q37" s="2"/>
      <c r="R37" s="6">
        <f t="shared" si="20"/>
        <v>0</v>
      </c>
      <c r="S37" s="2"/>
      <c r="T37" s="7">
        <v>51.8</v>
      </c>
      <c r="U37" s="2"/>
      <c r="V37" s="6">
        <f t="shared" si="21"/>
        <v>0</v>
      </c>
      <c r="W37" s="2"/>
      <c r="X37" s="7">
        <f t="shared" si="22"/>
        <v>76.540000000000006</v>
      </c>
      <c r="Y37" s="2"/>
      <c r="Z37" s="6">
        <f t="shared" si="23"/>
        <v>1.4776061776061777</v>
      </c>
    </row>
    <row r="38" spans="1:26" s="27" customFormat="1" outlineLevel="1" collapsed="1" x14ac:dyDescent="0.25">
      <c r="A38" s="29"/>
      <c r="B38" s="14" t="str">
        <f>CONCATENATE("     ","General                                           ")</f>
        <v xml:space="preserve">     General                                           </v>
      </c>
      <c r="C38" s="14"/>
      <c r="D38" s="1">
        <f>SUM(OSRRefD22_4x_0)</f>
        <v>890.75</v>
      </c>
      <c r="E38" s="1"/>
      <c r="F38" s="5">
        <f t="shared" si="16"/>
        <v>0</v>
      </c>
      <c r="G38" s="1"/>
      <c r="H38" s="1">
        <f>SUM(OSRRefH22_4x_0)</f>
        <v>850.54</v>
      </c>
      <c r="I38" s="1"/>
      <c r="J38" s="5">
        <f t="shared" si="17"/>
        <v>0</v>
      </c>
      <c r="K38" s="1"/>
      <c r="L38" s="1">
        <f t="shared" si="18"/>
        <v>40.210000000000036</v>
      </c>
      <c r="M38" s="1"/>
      <c r="N38" s="5">
        <f t="shared" si="19"/>
        <v>4.7275848284619226E-2</v>
      </c>
      <c r="O38" s="14"/>
      <c r="P38" s="1">
        <f>SUM(OSRRefP22_4x_0)</f>
        <v>2120.75</v>
      </c>
      <c r="Q38" s="1"/>
      <c r="R38" s="5">
        <f t="shared" si="20"/>
        <v>0</v>
      </c>
      <c r="S38" s="1"/>
      <c r="T38" s="1">
        <f>SUM(OSRRefT22_4x_0)</f>
        <v>166.54</v>
      </c>
      <c r="U38" s="1"/>
      <c r="V38" s="5">
        <f t="shared" si="21"/>
        <v>0</v>
      </c>
      <c r="W38" s="1"/>
      <c r="X38" s="1">
        <f t="shared" si="22"/>
        <v>1954.21</v>
      </c>
      <c r="Y38" s="1"/>
      <c r="Z38" s="5">
        <f t="shared" si="23"/>
        <v>11.734177975261199</v>
      </c>
    </row>
    <row r="39" spans="1:26" s="24" customFormat="1" hidden="1" outlineLevel="2" x14ac:dyDescent="0.25">
      <c r="A39" s="28"/>
      <c r="B39" s="11" t="str">
        <f>CONCATENATE("          ", "6279", " - ", "GENERAL EXPENSE")</f>
        <v xml:space="preserve">          6279 - GENERAL EXPENSE</v>
      </c>
      <c r="C39" s="11"/>
      <c r="D39" s="7">
        <v>890.75</v>
      </c>
      <c r="E39" s="2"/>
      <c r="F39" s="6">
        <f t="shared" si="16"/>
        <v>0</v>
      </c>
      <c r="G39" s="2"/>
      <c r="H39" s="7">
        <v>850.54</v>
      </c>
      <c r="I39" s="2"/>
      <c r="J39" s="6">
        <f t="shared" si="17"/>
        <v>0</v>
      </c>
      <c r="K39" s="2"/>
      <c r="L39" s="7">
        <f t="shared" si="18"/>
        <v>40.210000000000036</v>
      </c>
      <c r="M39" s="2"/>
      <c r="N39" s="6">
        <f t="shared" si="19"/>
        <v>4.7275848284619226E-2</v>
      </c>
      <c r="O39" s="11"/>
      <c r="P39" s="7">
        <v>2120.75</v>
      </c>
      <c r="Q39" s="2"/>
      <c r="R39" s="6">
        <f t="shared" si="20"/>
        <v>0</v>
      </c>
      <c r="S39" s="2"/>
      <c r="T39" s="7">
        <v>166.54</v>
      </c>
      <c r="U39" s="2"/>
      <c r="V39" s="6">
        <f t="shared" si="21"/>
        <v>0</v>
      </c>
      <c r="W39" s="2"/>
      <c r="X39" s="7">
        <f t="shared" si="22"/>
        <v>1954.21</v>
      </c>
      <c r="Y39" s="2"/>
      <c r="Z39" s="6">
        <f t="shared" si="23"/>
        <v>11.734177975261199</v>
      </c>
    </row>
    <row r="40" spans="1:26" s="27" customFormat="1" outlineLevel="1" collapsed="1" x14ac:dyDescent="0.25">
      <c r="A40" s="29"/>
      <c r="B40" s="14" t="str">
        <f>CONCATENATE("     ","Insurance                                         ")</f>
        <v xml:space="preserve">     Insurance                                         </v>
      </c>
      <c r="C40" s="14"/>
      <c r="D40" s="1">
        <f>SUM(OSRRefD22_5x_0)</f>
        <v>88.99</v>
      </c>
      <c r="E40" s="1"/>
      <c r="F40" s="5">
        <f t="shared" si="16"/>
        <v>0</v>
      </c>
      <c r="G40" s="1"/>
      <c r="H40" s="1">
        <f>SUM(OSRRefH22_5x_0)</f>
        <v>65.47</v>
      </c>
      <c r="I40" s="1"/>
      <c r="J40" s="5">
        <f t="shared" si="17"/>
        <v>0</v>
      </c>
      <c r="K40" s="1"/>
      <c r="L40" s="1">
        <f t="shared" si="18"/>
        <v>23.519999999999996</v>
      </c>
      <c r="M40" s="1"/>
      <c r="N40" s="5">
        <f t="shared" si="19"/>
        <v>0.35924851076829079</v>
      </c>
      <c r="O40" s="14"/>
      <c r="P40" s="1">
        <f>SUM(OSRRefP22_5x_0)</f>
        <v>266.97000000000003</v>
      </c>
      <c r="Q40" s="1"/>
      <c r="R40" s="5">
        <f t="shared" si="20"/>
        <v>0</v>
      </c>
      <c r="S40" s="1"/>
      <c r="T40" s="1">
        <f>SUM(OSRRefT22_5x_0)</f>
        <v>196.41</v>
      </c>
      <c r="U40" s="1"/>
      <c r="V40" s="5">
        <f t="shared" si="21"/>
        <v>0</v>
      </c>
      <c r="W40" s="1"/>
      <c r="X40" s="1">
        <f t="shared" si="22"/>
        <v>70.560000000000031</v>
      </c>
      <c r="Y40" s="1"/>
      <c r="Z40" s="5">
        <f t="shared" si="23"/>
        <v>0.35924851076829101</v>
      </c>
    </row>
    <row r="41" spans="1:26" s="24" customFormat="1" hidden="1" outlineLevel="2" x14ac:dyDescent="0.25">
      <c r="A41" s="28"/>
      <c r="B41" s="11" t="str">
        <f>CONCATENATE("          ", "6314", " - ", "LIABILITY INSURANCE")</f>
        <v xml:space="preserve">          6314 - LIABILITY INSURANCE</v>
      </c>
      <c r="C41" s="11"/>
      <c r="D41" s="7">
        <v>88.99</v>
      </c>
      <c r="E41" s="2"/>
      <c r="F41" s="6">
        <f t="shared" si="16"/>
        <v>0</v>
      </c>
      <c r="G41" s="2"/>
      <c r="H41" s="7">
        <v>65.47</v>
      </c>
      <c r="I41" s="2"/>
      <c r="J41" s="6">
        <f t="shared" si="17"/>
        <v>0</v>
      </c>
      <c r="K41" s="2"/>
      <c r="L41" s="7">
        <f t="shared" si="18"/>
        <v>23.519999999999996</v>
      </c>
      <c r="M41" s="2"/>
      <c r="N41" s="6">
        <f t="shared" si="19"/>
        <v>0.35924851076829079</v>
      </c>
      <c r="O41" s="11"/>
      <c r="P41" s="7">
        <v>266.97000000000003</v>
      </c>
      <c r="Q41" s="2"/>
      <c r="R41" s="6">
        <f t="shared" si="20"/>
        <v>0</v>
      </c>
      <c r="S41" s="2"/>
      <c r="T41" s="7">
        <v>196.41</v>
      </c>
      <c r="U41" s="2"/>
      <c r="V41" s="6">
        <f t="shared" si="21"/>
        <v>0</v>
      </c>
      <c r="W41" s="2"/>
      <c r="X41" s="7">
        <f t="shared" si="22"/>
        <v>70.560000000000031</v>
      </c>
      <c r="Y41" s="2"/>
      <c r="Z41" s="6">
        <f t="shared" si="23"/>
        <v>0.35924851076829101</v>
      </c>
    </row>
    <row r="42" spans="1:26" s="27" customFormat="1" outlineLevel="1" collapsed="1" x14ac:dyDescent="0.25">
      <c r="A42" s="29"/>
      <c r="B42" s="14" t="str">
        <f>CONCATENATE("     ","Professional Services                             ")</f>
        <v xml:space="preserve">     Professional Services                             </v>
      </c>
      <c r="C42" s="14"/>
      <c r="D42" s="1">
        <f>SUM(OSRRefD22_6x_0)</f>
        <v>1253.8499999999999</v>
      </c>
      <c r="E42" s="1"/>
      <c r="F42" s="5">
        <f t="shared" si="16"/>
        <v>0</v>
      </c>
      <c r="G42" s="1"/>
      <c r="H42" s="1">
        <f>SUM(OSRRefH22_6x_0)</f>
        <v>579.16999999999996</v>
      </c>
      <c r="I42" s="1"/>
      <c r="J42" s="5">
        <f t="shared" si="17"/>
        <v>0</v>
      </c>
      <c r="K42" s="1"/>
      <c r="L42" s="1">
        <f t="shared" si="18"/>
        <v>674.68</v>
      </c>
      <c r="M42" s="1"/>
      <c r="N42" s="5">
        <f t="shared" si="19"/>
        <v>1.1649084034048725</v>
      </c>
      <c r="O42" s="14"/>
      <c r="P42" s="1">
        <f>SUM(OSRRefP22_6x_0)</f>
        <v>6203.85</v>
      </c>
      <c r="Q42" s="1"/>
      <c r="R42" s="5">
        <f t="shared" si="20"/>
        <v>0</v>
      </c>
      <c r="S42" s="1"/>
      <c r="T42" s="1">
        <f>SUM(OSRRefT22_6x_0)</f>
        <v>2581.2600000000002</v>
      </c>
      <c r="U42" s="1"/>
      <c r="V42" s="5">
        <f t="shared" si="21"/>
        <v>0</v>
      </c>
      <c r="W42" s="1"/>
      <c r="X42" s="1">
        <f t="shared" si="22"/>
        <v>3622.59</v>
      </c>
      <c r="Y42" s="1"/>
      <c r="Z42" s="5">
        <f t="shared" si="23"/>
        <v>1.4034192603612188</v>
      </c>
    </row>
    <row r="43" spans="1:26" s="24" customFormat="1" hidden="1" outlineLevel="2" x14ac:dyDescent="0.25">
      <c r="A43" s="28"/>
      <c r="B43" s="11" t="str">
        <f>CONCATENATE("          ", "6334", " - ", "LEGAL COUNCIL EXPENSE")</f>
        <v xml:space="preserve">          6334 - LEGAL COUNCIL EXPENSE</v>
      </c>
      <c r="C43" s="11"/>
      <c r="D43" s="7"/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>
        <v>3255</v>
      </c>
      <c r="Q43" s="2"/>
      <c r="R43" s="6">
        <f t="shared" si="20"/>
        <v>0</v>
      </c>
      <c r="S43" s="2"/>
      <c r="T43" s="7"/>
      <c r="U43" s="2"/>
      <c r="V43" s="6">
        <f t="shared" si="21"/>
        <v>0</v>
      </c>
      <c r="W43" s="2"/>
      <c r="X43" s="7">
        <f t="shared" si="22"/>
        <v>3255</v>
      </c>
      <c r="Y43" s="2"/>
      <c r="Z43" s="6">
        <f t="shared" si="23"/>
        <v>0</v>
      </c>
    </row>
    <row r="44" spans="1:26" s="24" customFormat="1" hidden="1" outlineLevel="2" x14ac:dyDescent="0.25">
      <c r="A44" s="28"/>
      <c r="B44" s="11" t="str">
        <f>CONCATENATE("          ", "6336", " - ", "PROFESSIONAL SERVICES")</f>
        <v xml:space="preserve">          6336 - PROFESSIONAL SERVICES</v>
      </c>
      <c r="C44" s="11"/>
      <c r="D44" s="7">
        <v>1253.8499999999999</v>
      </c>
      <c r="E44" s="2"/>
      <c r="F44" s="6">
        <f t="shared" si="16"/>
        <v>0</v>
      </c>
      <c r="G44" s="2"/>
      <c r="H44" s="7">
        <v>579.16999999999996</v>
      </c>
      <c r="I44" s="2"/>
      <c r="J44" s="6">
        <f t="shared" si="17"/>
        <v>0</v>
      </c>
      <c r="K44" s="2"/>
      <c r="L44" s="7">
        <f t="shared" si="18"/>
        <v>674.68</v>
      </c>
      <c r="M44" s="2"/>
      <c r="N44" s="6">
        <f t="shared" si="19"/>
        <v>1.1649084034048725</v>
      </c>
      <c r="O44" s="11"/>
      <c r="P44" s="7">
        <v>2948.85</v>
      </c>
      <c r="Q44" s="2"/>
      <c r="R44" s="6">
        <f t="shared" si="20"/>
        <v>0</v>
      </c>
      <c r="S44" s="2"/>
      <c r="T44" s="7">
        <v>2581.2600000000002</v>
      </c>
      <c r="U44" s="2"/>
      <c r="V44" s="6">
        <f t="shared" si="21"/>
        <v>0</v>
      </c>
      <c r="W44" s="2"/>
      <c r="X44" s="7">
        <f t="shared" si="22"/>
        <v>367.58999999999969</v>
      </c>
      <c r="Y44" s="2"/>
      <c r="Z44" s="6">
        <f t="shared" si="23"/>
        <v>0.1424071964854372</v>
      </c>
    </row>
    <row r="45" spans="1:26" s="27" customFormat="1" outlineLevel="1" collapsed="1" x14ac:dyDescent="0.25">
      <c r="A45" s="29"/>
      <c r="B45" s="14" t="str">
        <f>CONCATENATE("     ","Repair and Maintenance                            ")</f>
        <v xml:space="preserve">     Repair and Maintenance                            </v>
      </c>
      <c r="C45" s="14"/>
      <c r="D45" s="1">
        <f>SUM(OSRRefD22_7x_0)</f>
        <v>4894.6899999999996</v>
      </c>
      <c r="E45" s="1"/>
      <c r="F45" s="5">
        <f t="shared" ref="F45:F47" si="24">IF(D$12=0,0,D45/D$12)</f>
        <v>0</v>
      </c>
      <c r="G45" s="1"/>
      <c r="H45" s="1">
        <f>SUM(OSRRefH22_7x_0)</f>
        <v>3603.2</v>
      </c>
      <c r="I45" s="1"/>
      <c r="J45" s="5">
        <f t="shared" ref="J45:J47" si="25">IF(H$12=0,0,H45/H$12)</f>
        <v>0</v>
      </c>
      <c r="K45" s="1"/>
      <c r="L45" s="1">
        <f t="shared" ref="L45:L47" si="26">+D45-H45</f>
        <v>1291.4899999999998</v>
      </c>
      <c r="M45" s="1"/>
      <c r="N45" s="5">
        <f t="shared" ref="N45:N47" si="27">IF(H45=0,0,L45/H45)</f>
        <v>0.35842861900532857</v>
      </c>
      <c r="O45" s="14"/>
      <c r="P45" s="1">
        <f>SUM(OSRRefP22_7x_0)</f>
        <v>13793.14</v>
      </c>
      <c r="Q45" s="1"/>
      <c r="R45" s="5">
        <f t="shared" ref="R45:R47" si="28">IF(P$12=0,0,P45/P$12)</f>
        <v>0</v>
      </c>
      <c r="S45" s="1"/>
      <c r="T45" s="1">
        <f>SUM(OSRRefT22_7x_0)</f>
        <v>11754.91</v>
      </c>
      <c r="U45" s="1"/>
      <c r="V45" s="5">
        <f t="shared" ref="V45:V47" si="29">IF(T$12=0,0,T45/T$12)</f>
        <v>0</v>
      </c>
      <c r="W45" s="1"/>
      <c r="X45" s="1">
        <f t="shared" ref="X45:X47" si="30">+P45-T45</f>
        <v>2038.2299999999996</v>
      </c>
      <c r="Y45" s="1"/>
      <c r="Z45" s="5">
        <f t="shared" ref="Z45:Z47" si="31">IF(T45=0,0,X45/T45)</f>
        <v>0.17339392645286095</v>
      </c>
    </row>
    <row r="46" spans="1:26" s="24" customFormat="1" hidden="1" outlineLevel="2" x14ac:dyDescent="0.25">
      <c r="A46" s="28"/>
      <c r="B46" s="11" t="str">
        <f>CONCATENATE("          ", "6371", " - ", "COMPUTER SOFTWARE MAINTENANCE")</f>
        <v xml:space="preserve">          6371 - COMPUTER SOFTWARE MAINTENANCE</v>
      </c>
      <c r="C46" s="11"/>
      <c r="D46" s="7">
        <v>4894.6899999999996</v>
      </c>
      <c r="E46" s="2"/>
      <c r="F46" s="6">
        <f t="shared" si="24"/>
        <v>0</v>
      </c>
      <c r="G46" s="2"/>
      <c r="H46" s="7">
        <v>3603.2</v>
      </c>
      <c r="I46" s="2"/>
      <c r="J46" s="6">
        <f t="shared" si="25"/>
        <v>0</v>
      </c>
      <c r="K46" s="2"/>
      <c r="L46" s="7">
        <f t="shared" si="26"/>
        <v>1291.4899999999998</v>
      </c>
      <c r="M46" s="2"/>
      <c r="N46" s="6">
        <f t="shared" si="27"/>
        <v>0.35842861900532857</v>
      </c>
      <c r="O46" s="11"/>
      <c r="P46" s="7">
        <v>13694.55</v>
      </c>
      <c r="Q46" s="2"/>
      <c r="R46" s="6">
        <f t="shared" si="28"/>
        <v>0</v>
      </c>
      <c r="S46" s="2"/>
      <c r="T46" s="7">
        <v>11754.91</v>
      </c>
      <c r="U46" s="2"/>
      <c r="V46" s="6">
        <f t="shared" si="29"/>
        <v>0</v>
      </c>
      <c r="W46" s="2"/>
      <c r="X46" s="7">
        <f t="shared" si="30"/>
        <v>1939.6399999999994</v>
      </c>
      <c r="Y46" s="2"/>
      <c r="Z46" s="6">
        <f t="shared" si="31"/>
        <v>0.16500679290611323</v>
      </c>
    </row>
    <row r="47" spans="1:26" s="24" customFormat="1" hidden="1" outlineLevel="2" x14ac:dyDescent="0.25">
      <c r="A47" s="28"/>
      <c r="B47" s="11" t="str">
        <f>CONCATENATE("          ", "6373", " - ", "MAINTENANCE CONTRACTS")</f>
        <v xml:space="preserve">          6373 - MAINTENANCE CONTRACTS</v>
      </c>
      <c r="C47" s="11"/>
      <c r="D47" s="7"/>
      <c r="E47" s="2"/>
      <c r="F47" s="6">
        <f t="shared" si="24"/>
        <v>0</v>
      </c>
      <c r="G47" s="2"/>
      <c r="H47" s="7"/>
      <c r="I47" s="2"/>
      <c r="J47" s="6">
        <f t="shared" si="25"/>
        <v>0</v>
      </c>
      <c r="K47" s="2"/>
      <c r="L47" s="7">
        <f t="shared" si="26"/>
        <v>0</v>
      </c>
      <c r="M47" s="2"/>
      <c r="N47" s="6">
        <f t="shared" si="27"/>
        <v>0</v>
      </c>
      <c r="O47" s="11"/>
      <c r="P47" s="7">
        <v>98.59</v>
      </c>
      <c r="Q47" s="2"/>
      <c r="R47" s="6">
        <f t="shared" si="28"/>
        <v>0</v>
      </c>
      <c r="S47" s="2"/>
      <c r="T47" s="7"/>
      <c r="U47" s="2"/>
      <c r="V47" s="6">
        <f t="shared" si="29"/>
        <v>0</v>
      </c>
      <c r="W47" s="2"/>
      <c r="X47" s="7">
        <f t="shared" si="30"/>
        <v>98.59</v>
      </c>
      <c r="Y47" s="2"/>
      <c r="Z47" s="6">
        <f t="shared" si="31"/>
        <v>0</v>
      </c>
    </row>
    <row r="48" spans="1:26" s="27" customFormat="1" outlineLevel="1" collapsed="1" x14ac:dyDescent="0.25">
      <c r="A48" s="29"/>
      <c r="B48" s="14" t="str">
        <f>CONCATENATE("     ","Subscriptions &amp; Dues                              ")</f>
        <v xml:space="preserve">     Subscriptions &amp; Dues                              </v>
      </c>
      <c r="C48" s="14"/>
      <c r="D48" s="1">
        <f>SUM(OSRRefD22_8x_0)</f>
        <v>0</v>
      </c>
      <c r="E48" s="1"/>
      <c r="F48" s="5">
        <f t="shared" ref="F48:F54" si="32">IF(D$12=0,0,D48/D$12)</f>
        <v>0</v>
      </c>
      <c r="G48" s="1"/>
      <c r="H48" s="1">
        <f>SUM(OSRRefH22_8x_0)</f>
        <v>0</v>
      </c>
      <c r="I48" s="1"/>
      <c r="J48" s="5">
        <f t="shared" ref="J48:J54" si="33">IF(H$12=0,0,H48/H$12)</f>
        <v>0</v>
      </c>
      <c r="K48" s="1"/>
      <c r="L48" s="1">
        <f t="shared" ref="L48:L54" si="34">+D48-H48</f>
        <v>0</v>
      </c>
      <c r="M48" s="1"/>
      <c r="N48" s="5">
        <f t="shared" ref="N48:N54" si="35">IF(H48=0,0,L48/H48)</f>
        <v>0</v>
      </c>
      <c r="O48" s="14"/>
      <c r="P48" s="1">
        <f>SUM(OSRRefP22_8x_0)</f>
        <v>219</v>
      </c>
      <c r="Q48" s="1"/>
      <c r="R48" s="5">
        <f t="shared" ref="R48:R54" si="36">IF(P$12=0,0,P48/P$12)</f>
        <v>0</v>
      </c>
      <c r="S48" s="1"/>
      <c r="T48" s="1">
        <f>SUM(OSRRefT22_8x_0)</f>
        <v>0</v>
      </c>
      <c r="U48" s="1"/>
      <c r="V48" s="5">
        <f t="shared" ref="V48:V54" si="37">IF(T$12=0,0,T48/T$12)</f>
        <v>0</v>
      </c>
      <c r="W48" s="1"/>
      <c r="X48" s="1">
        <f t="shared" ref="X48:X54" si="38">+P48-T48</f>
        <v>219</v>
      </c>
      <c r="Y48" s="1"/>
      <c r="Z48" s="5">
        <f t="shared" ref="Z48:Z54" si="39">IF(T48=0,0,X48/T48)</f>
        <v>0</v>
      </c>
    </row>
    <row r="49" spans="1:26" s="24" customFormat="1" hidden="1" outlineLevel="2" x14ac:dyDescent="0.25">
      <c r="A49" s="28"/>
      <c r="B49" s="11" t="str">
        <f>CONCATENATE("          ", "6258", " - ", "MEMBERSHIP DUES")</f>
        <v xml:space="preserve">          6258 - MEMBERSHIP DUES</v>
      </c>
      <c r="C49" s="11"/>
      <c r="D49" s="7"/>
      <c r="E49" s="2"/>
      <c r="F49" s="6">
        <f t="shared" si="32"/>
        <v>0</v>
      </c>
      <c r="G49" s="2"/>
      <c r="H49" s="7"/>
      <c r="I49" s="2"/>
      <c r="J49" s="6">
        <f t="shared" si="33"/>
        <v>0</v>
      </c>
      <c r="K49" s="2"/>
      <c r="L49" s="7">
        <f t="shared" si="34"/>
        <v>0</v>
      </c>
      <c r="M49" s="2"/>
      <c r="N49" s="6">
        <f t="shared" si="35"/>
        <v>0</v>
      </c>
      <c r="O49" s="11"/>
      <c r="P49" s="7">
        <v>219</v>
      </c>
      <c r="Q49" s="2"/>
      <c r="R49" s="6">
        <f t="shared" si="36"/>
        <v>0</v>
      </c>
      <c r="S49" s="2"/>
      <c r="T49" s="7"/>
      <c r="U49" s="2"/>
      <c r="V49" s="6">
        <f t="shared" si="37"/>
        <v>0</v>
      </c>
      <c r="W49" s="2"/>
      <c r="X49" s="7">
        <f t="shared" si="38"/>
        <v>219</v>
      </c>
      <c r="Y49" s="2"/>
      <c r="Z49" s="6">
        <f t="shared" si="39"/>
        <v>0</v>
      </c>
    </row>
    <row r="50" spans="1:26" s="27" customFormat="1" outlineLevel="1" collapsed="1" x14ac:dyDescent="0.25">
      <c r="A50" s="29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SUM(OSRRefD22_9x_0)</f>
        <v>254.38</v>
      </c>
      <c r="E50" s="1"/>
      <c r="F50" s="5">
        <f t="shared" si="32"/>
        <v>0</v>
      </c>
      <c r="G50" s="1"/>
      <c r="H50" s="1">
        <f>SUM(OSRRefH22_9x_0)</f>
        <v>70.39</v>
      </c>
      <c r="I50" s="1"/>
      <c r="J50" s="5">
        <f t="shared" si="33"/>
        <v>0</v>
      </c>
      <c r="K50" s="1"/>
      <c r="L50" s="1">
        <f t="shared" si="34"/>
        <v>183.99</v>
      </c>
      <c r="M50" s="1"/>
      <c r="N50" s="5">
        <f t="shared" si="35"/>
        <v>2.6138656059099303</v>
      </c>
      <c r="O50" s="14"/>
      <c r="P50" s="1">
        <f>SUM(OSRRefP22_9x_0)</f>
        <v>4839.18</v>
      </c>
      <c r="Q50" s="1"/>
      <c r="R50" s="5">
        <f t="shared" si="36"/>
        <v>0</v>
      </c>
      <c r="S50" s="1"/>
      <c r="T50" s="1">
        <f>SUM(OSRRefT22_9x_0)</f>
        <v>1107.21</v>
      </c>
      <c r="U50" s="1"/>
      <c r="V50" s="5">
        <f t="shared" si="37"/>
        <v>0</v>
      </c>
      <c r="W50" s="1"/>
      <c r="X50" s="1">
        <f t="shared" si="38"/>
        <v>3731.9700000000003</v>
      </c>
      <c r="Y50" s="1"/>
      <c r="Z50" s="5">
        <f t="shared" si="39"/>
        <v>3.3706072018858211</v>
      </c>
    </row>
    <row r="51" spans="1:26" s="24" customFormat="1" hidden="1" outlineLevel="2" x14ac:dyDescent="0.25">
      <c r="A51" s="28"/>
      <c r="B51" s="11" t="str">
        <f>CONCATENATE("          ", "6235", " - ", "COVID-19 EXPENSES")</f>
        <v xml:space="preserve">          6235 - COVID-19 EXPENSES</v>
      </c>
      <c r="C51" s="11"/>
      <c r="D51" s="7"/>
      <c r="E51" s="2"/>
      <c r="F51" s="6">
        <f t="shared" si="32"/>
        <v>0</v>
      </c>
      <c r="G51" s="2"/>
      <c r="H51" s="7"/>
      <c r="I51" s="2"/>
      <c r="J51" s="6">
        <f t="shared" si="33"/>
        <v>0</v>
      </c>
      <c r="K51" s="2"/>
      <c r="L51" s="7">
        <f t="shared" si="34"/>
        <v>0</v>
      </c>
      <c r="M51" s="2"/>
      <c r="N51" s="6">
        <f t="shared" si="35"/>
        <v>0</v>
      </c>
      <c r="O51" s="11"/>
      <c r="P51" s="7">
        <v>2447.77</v>
      </c>
      <c r="Q51" s="2"/>
      <c r="R51" s="6">
        <f t="shared" si="36"/>
        <v>0</v>
      </c>
      <c r="S51" s="2"/>
      <c r="T51" s="7">
        <v>210.58</v>
      </c>
      <c r="U51" s="2"/>
      <c r="V51" s="6">
        <f t="shared" si="37"/>
        <v>0</v>
      </c>
      <c r="W51" s="2"/>
      <c r="X51" s="7">
        <f t="shared" si="38"/>
        <v>2237.19</v>
      </c>
      <c r="Y51" s="2"/>
      <c r="Z51" s="6">
        <f t="shared" si="39"/>
        <v>10.623943394434418</v>
      </c>
    </row>
    <row r="52" spans="1:26" s="24" customFormat="1" hidden="1" outlineLevel="2" x14ac:dyDescent="0.25">
      <c r="A52" s="28"/>
      <c r="B52" s="11" t="str">
        <f>CONCATENATE("          ", "6241", " - ", "OFFICE EXPENSE")</f>
        <v xml:space="preserve">          6241 - OFFICE EXPENSE</v>
      </c>
      <c r="C52" s="11"/>
      <c r="D52" s="7">
        <v>79.38</v>
      </c>
      <c r="E52" s="2"/>
      <c r="F52" s="6">
        <f t="shared" si="32"/>
        <v>0</v>
      </c>
      <c r="G52" s="2"/>
      <c r="H52" s="7">
        <v>20.39</v>
      </c>
      <c r="I52" s="2"/>
      <c r="J52" s="6">
        <f t="shared" si="33"/>
        <v>0</v>
      </c>
      <c r="K52" s="2"/>
      <c r="L52" s="7">
        <f t="shared" si="34"/>
        <v>58.989999999999995</v>
      </c>
      <c r="M52" s="2"/>
      <c r="N52" s="6">
        <f t="shared" si="35"/>
        <v>2.8930848455125058</v>
      </c>
      <c r="O52" s="11"/>
      <c r="P52" s="7">
        <v>804.72</v>
      </c>
      <c r="Q52" s="2"/>
      <c r="R52" s="6">
        <f t="shared" si="36"/>
        <v>0</v>
      </c>
      <c r="S52" s="2"/>
      <c r="T52" s="7">
        <v>698.92</v>
      </c>
      <c r="U52" s="2"/>
      <c r="V52" s="6">
        <f t="shared" si="37"/>
        <v>0</v>
      </c>
      <c r="W52" s="2"/>
      <c r="X52" s="7">
        <f t="shared" si="38"/>
        <v>105.80000000000007</v>
      </c>
      <c r="Y52" s="2"/>
      <c r="Z52" s="6">
        <f t="shared" si="39"/>
        <v>0.1513764093172324</v>
      </c>
    </row>
    <row r="53" spans="1:26" s="24" customFormat="1" hidden="1" outlineLevel="2" x14ac:dyDescent="0.25">
      <c r="A53" s="28"/>
      <c r="B53" s="11" t="str">
        <f>CONCATENATE("          ", "6244", " - ", "SAFETY SUPPLY EXPENSE")</f>
        <v xml:space="preserve">          6244 - SAFETY SUPPLY EXPENSE</v>
      </c>
      <c r="C53" s="11"/>
      <c r="D53" s="7">
        <v>175</v>
      </c>
      <c r="E53" s="2"/>
      <c r="F53" s="6">
        <f t="shared" si="32"/>
        <v>0</v>
      </c>
      <c r="G53" s="2"/>
      <c r="H53" s="7">
        <v>50</v>
      </c>
      <c r="I53" s="2"/>
      <c r="J53" s="6">
        <f t="shared" si="33"/>
        <v>0</v>
      </c>
      <c r="K53" s="2"/>
      <c r="L53" s="7">
        <f t="shared" si="34"/>
        <v>125</v>
      </c>
      <c r="M53" s="2"/>
      <c r="N53" s="6">
        <f t="shared" si="35"/>
        <v>2.5</v>
      </c>
      <c r="O53" s="11"/>
      <c r="P53" s="7">
        <v>375</v>
      </c>
      <c r="Q53" s="2"/>
      <c r="R53" s="6">
        <f t="shared" si="36"/>
        <v>0</v>
      </c>
      <c r="S53" s="2"/>
      <c r="T53" s="7">
        <v>197.71</v>
      </c>
      <c r="U53" s="2"/>
      <c r="V53" s="6">
        <f t="shared" si="37"/>
        <v>0</v>
      </c>
      <c r="W53" s="2"/>
      <c r="X53" s="7">
        <f t="shared" si="38"/>
        <v>177.29</v>
      </c>
      <c r="Y53" s="2"/>
      <c r="Z53" s="6">
        <f t="shared" si="39"/>
        <v>0.89671741439482067</v>
      </c>
    </row>
    <row r="54" spans="1:26" s="24" customFormat="1" hidden="1" outlineLevel="2" x14ac:dyDescent="0.25">
      <c r="A54" s="28"/>
      <c r="B54" s="11" t="str">
        <f>CONCATENATE("          ", "6248", " - ", "UNIFORMS")</f>
        <v xml:space="preserve">          6248 - UNIFORMS</v>
      </c>
      <c r="C54" s="11"/>
      <c r="D54" s="7"/>
      <c r="E54" s="2"/>
      <c r="F54" s="6">
        <f t="shared" si="32"/>
        <v>0</v>
      </c>
      <c r="G54" s="2"/>
      <c r="H54" s="7"/>
      <c r="I54" s="2"/>
      <c r="J54" s="6">
        <f t="shared" si="33"/>
        <v>0</v>
      </c>
      <c r="K54" s="2"/>
      <c r="L54" s="7">
        <f t="shared" si="34"/>
        <v>0</v>
      </c>
      <c r="M54" s="2"/>
      <c r="N54" s="6">
        <f t="shared" si="35"/>
        <v>0</v>
      </c>
      <c r="O54" s="11"/>
      <c r="P54" s="7">
        <v>1211.69</v>
      </c>
      <c r="Q54" s="2"/>
      <c r="R54" s="6">
        <f t="shared" si="36"/>
        <v>0</v>
      </c>
      <c r="S54" s="2"/>
      <c r="T54" s="7"/>
      <c r="U54" s="2"/>
      <c r="V54" s="6">
        <f t="shared" si="37"/>
        <v>0</v>
      </c>
      <c r="W54" s="2"/>
      <c r="X54" s="7">
        <f t="shared" si="38"/>
        <v>1211.69</v>
      </c>
      <c r="Y54" s="2"/>
      <c r="Z54" s="6">
        <f t="shared" si="39"/>
        <v>0</v>
      </c>
    </row>
    <row r="55" spans="1:26" s="27" customFormat="1" outlineLevel="1" collapsed="1" x14ac:dyDescent="0.25">
      <c r="A55" s="29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SUM(OSRRefD22_10x_0)</f>
        <v>358.95</v>
      </c>
      <c r="E55" s="1"/>
      <c r="F55" s="5">
        <f t="shared" ref="F55:F58" si="40">IF(D$12=0,0,D55/D$12)</f>
        <v>0</v>
      </c>
      <c r="G55" s="1"/>
      <c r="H55" s="1">
        <f>SUM(OSRRefH22_10x_0)</f>
        <v>340</v>
      </c>
      <c r="I55" s="1"/>
      <c r="J55" s="5">
        <f t="shared" ref="J55:J58" si="41">IF(H$12=0,0,H55/H$12)</f>
        <v>0</v>
      </c>
      <c r="K55" s="1"/>
      <c r="L55" s="1">
        <f t="shared" ref="L55:L58" si="42">+D55-H55</f>
        <v>18.949999999999989</v>
      </c>
      <c r="M55" s="1"/>
      <c r="N55" s="5">
        <f t="shared" ref="N55:N58" si="43">IF(H55=0,0,L55/H55)</f>
        <v>5.5735294117647029E-2</v>
      </c>
      <c r="O55" s="14"/>
      <c r="P55" s="1">
        <f>SUM(OSRRefP22_10x_0)</f>
        <v>1067.3</v>
      </c>
      <c r="Q55" s="1"/>
      <c r="R55" s="5">
        <f t="shared" ref="R55:R58" si="44">IF(P$12=0,0,P55/P$12)</f>
        <v>0</v>
      </c>
      <c r="S55" s="1"/>
      <c r="T55" s="1">
        <f>SUM(OSRRefT22_10x_0)</f>
        <v>1003.4</v>
      </c>
      <c r="U55" s="1"/>
      <c r="V55" s="5">
        <f t="shared" ref="V55:V58" si="45">IF(T$12=0,0,T55/T$12)</f>
        <v>0</v>
      </c>
      <c r="W55" s="1"/>
      <c r="X55" s="1">
        <f t="shared" ref="X55:X58" si="46">+P55-T55</f>
        <v>63.899999999999977</v>
      </c>
      <c r="Y55" s="1"/>
      <c r="Z55" s="5">
        <f t="shared" ref="Z55:Z58" si="47">IF(T55=0,0,X55/T55)</f>
        <v>6.3683476180984633E-2</v>
      </c>
    </row>
    <row r="56" spans="1:26" s="24" customFormat="1" hidden="1" outlineLevel="2" x14ac:dyDescent="0.25">
      <c r="A56" s="28"/>
      <c r="B56" s="11" t="str">
        <f>CONCATENATE("          ", "6309", " - ", "TELEPHONE")</f>
        <v xml:space="preserve">          6309 - TELEPHONE</v>
      </c>
      <c r="C56" s="11"/>
      <c r="D56" s="7">
        <v>358.95</v>
      </c>
      <c r="E56" s="2"/>
      <c r="F56" s="6">
        <f t="shared" si="40"/>
        <v>0</v>
      </c>
      <c r="G56" s="2"/>
      <c r="H56" s="7">
        <v>340</v>
      </c>
      <c r="I56" s="2"/>
      <c r="J56" s="6">
        <f t="shared" si="41"/>
        <v>0</v>
      </c>
      <c r="K56" s="2"/>
      <c r="L56" s="7">
        <f t="shared" si="42"/>
        <v>18.949999999999989</v>
      </c>
      <c r="M56" s="2"/>
      <c r="N56" s="6">
        <f t="shared" si="43"/>
        <v>5.5735294117647029E-2</v>
      </c>
      <c r="O56" s="11"/>
      <c r="P56" s="7">
        <v>1067.3</v>
      </c>
      <c r="Q56" s="2"/>
      <c r="R56" s="6">
        <f t="shared" si="44"/>
        <v>0</v>
      </c>
      <c r="S56" s="2"/>
      <c r="T56" s="7">
        <v>1003.4</v>
      </c>
      <c r="U56" s="2"/>
      <c r="V56" s="6">
        <f t="shared" si="45"/>
        <v>0</v>
      </c>
      <c r="W56" s="2"/>
      <c r="X56" s="7">
        <f t="shared" si="46"/>
        <v>63.899999999999977</v>
      </c>
      <c r="Y56" s="2"/>
      <c r="Z56" s="6">
        <f t="shared" si="47"/>
        <v>6.3683476180984633E-2</v>
      </c>
    </row>
    <row r="57" spans="1:26" s="27" customFormat="1" outlineLevel="1" collapsed="1" x14ac:dyDescent="0.25">
      <c r="A57" s="29"/>
      <c r="B57" s="14" t="str">
        <f>CONCATENATE("     ","Training                                          ")</f>
        <v xml:space="preserve">     Training                                          </v>
      </c>
      <c r="C57" s="14"/>
      <c r="D57" s="1">
        <f>SUM(OSRRefD22_11x_0)</f>
        <v>0</v>
      </c>
      <c r="E57" s="1"/>
      <c r="F57" s="5">
        <f t="shared" si="40"/>
        <v>0</v>
      </c>
      <c r="G57" s="1"/>
      <c r="H57" s="1">
        <f>SUM(OSRRefH22_11x_0)</f>
        <v>-97</v>
      </c>
      <c r="I57" s="1"/>
      <c r="J57" s="5">
        <f t="shared" si="41"/>
        <v>0</v>
      </c>
      <c r="K57" s="1"/>
      <c r="L57" s="1">
        <f t="shared" si="42"/>
        <v>97</v>
      </c>
      <c r="M57" s="1"/>
      <c r="N57" s="5">
        <f t="shared" si="43"/>
        <v>-1</v>
      </c>
      <c r="O57" s="14"/>
      <c r="P57" s="1">
        <f>SUM(OSRRefP22_11x_0)</f>
        <v>0</v>
      </c>
      <c r="Q57" s="1"/>
      <c r="R57" s="5">
        <f t="shared" si="44"/>
        <v>0</v>
      </c>
      <c r="S57" s="1"/>
      <c r="T57" s="1">
        <f>SUM(OSRRefT22_11x_0)</f>
        <v>-97</v>
      </c>
      <c r="U57" s="1"/>
      <c r="V57" s="5">
        <f t="shared" si="45"/>
        <v>0</v>
      </c>
      <c r="W57" s="1"/>
      <c r="X57" s="1">
        <f t="shared" si="46"/>
        <v>97</v>
      </c>
      <c r="Y57" s="1"/>
      <c r="Z57" s="5">
        <f t="shared" si="47"/>
        <v>-1</v>
      </c>
    </row>
    <row r="58" spans="1:26" s="24" customFormat="1" hidden="1" outlineLevel="2" x14ac:dyDescent="0.25">
      <c r="A58" s="28"/>
      <c r="B58" s="11" t="str">
        <f>CONCATENATE("          ", "6376", " - ", "TRAINING")</f>
        <v xml:space="preserve">          6376 - TRAINING</v>
      </c>
      <c r="C58" s="11"/>
      <c r="D58" s="7"/>
      <c r="E58" s="2"/>
      <c r="F58" s="6">
        <f t="shared" si="40"/>
        <v>0</v>
      </c>
      <c r="G58" s="2"/>
      <c r="H58" s="7">
        <v>-97</v>
      </c>
      <c r="I58" s="2"/>
      <c r="J58" s="6">
        <f t="shared" si="41"/>
        <v>0</v>
      </c>
      <c r="K58" s="2"/>
      <c r="L58" s="7">
        <f t="shared" si="42"/>
        <v>97</v>
      </c>
      <c r="M58" s="2"/>
      <c r="N58" s="6">
        <f t="shared" si="43"/>
        <v>-1</v>
      </c>
      <c r="O58" s="11"/>
      <c r="P58" s="7"/>
      <c r="Q58" s="2"/>
      <c r="R58" s="6">
        <f t="shared" si="44"/>
        <v>0</v>
      </c>
      <c r="S58" s="2"/>
      <c r="T58" s="7">
        <v>-97</v>
      </c>
      <c r="U58" s="2"/>
      <c r="V58" s="6">
        <f t="shared" si="45"/>
        <v>0</v>
      </c>
      <c r="W58" s="2"/>
      <c r="X58" s="7">
        <f t="shared" si="46"/>
        <v>97</v>
      </c>
      <c r="Y58" s="2"/>
      <c r="Z58" s="6">
        <f t="shared" si="47"/>
        <v>-1</v>
      </c>
    </row>
    <row r="59" spans="1:26" s="54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6" t="s">
        <v>292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5" t="s">
        <v>276</v>
      </c>
      <c r="C62" s="25"/>
      <c r="D62" s="21">
        <f>+D16-D18+D60</f>
        <v>-47199.599999999991</v>
      </c>
      <c r="E62" s="13"/>
      <c r="F62" s="22">
        <f>IF(D$12=0,0,D62/D$12)</f>
        <v>0</v>
      </c>
      <c r="G62" s="13"/>
      <c r="H62" s="21">
        <f>+H16-H18+H60</f>
        <v>-42643.45</v>
      </c>
      <c r="I62" s="13"/>
      <c r="J62" s="22">
        <f>IF(H$12=0,0,H62/H$12)</f>
        <v>0</v>
      </c>
      <c r="K62" s="16"/>
      <c r="L62" s="21">
        <f>+D62-H62</f>
        <v>-4556.1499999999942</v>
      </c>
      <c r="M62" s="16"/>
      <c r="N62" s="22">
        <f>IF(H62=0,0,L62/H62)</f>
        <v>0.10684290318911802</v>
      </c>
      <c r="O62" s="26"/>
      <c r="P62" s="21">
        <f>+P16-P18+P60</f>
        <v>-153727.94999999995</v>
      </c>
      <c r="Q62" s="13"/>
      <c r="R62" s="22">
        <f>IF(P$12=0,0,P62/P$12)</f>
        <v>0</v>
      </c>
      <c r="S62" s="13"/>
      <c r="T62" s="21">
        <f>+T16-T18+T60</f>
        <v>-134979.03999999998</v>
      </c>
      <c r="U62" s="13"/>
      <c r="V62" s="22">
        <f>IF(T$12=0,0,T62/T$12)</f>
        <v>0</v>
      </c>
      <c r="W62" s="16"/>
      <c r="X62" s="21">
        <f>+P62-T62</f>
        <v>-18748.909999999974</v>
      </c>
      <c r="Y62" s="16"/>
      <c r="Z62" s="22">
        <f>IF(T62=0,0,X62/T62)</f>
        <v>0.13890238069555078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1"/>
      <c r="B64" s="10" t="s">
        <v>127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/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5" t="s">
        <v>125</v>
      </c>
      <c r="C66" s="25"/>
      <c r="D66" s="33">
        <f>+D62-D64</f>
        <v>-47199.599999999991</v>
      </c>
      <c r="E66" s="13"/>
      <c r="F66" s="35">
        <f>IF(D$12=0,0,D66/D$12)</f>
        <v>0</v>
      </c>
      <c r="G66" s="13"/>
      <c r="H66" s="33">
        <f>+H62-H64</f>
        <v>-42643.45</v>
      </c>
      <c r="I66" s="13"/>
      <c r="J66" s="35">
        <f>IF(H$12=0,0,H66/H$12)</f>
        <v>0</v>
      </c>
      <c r="K66" s="16"/>
      <c r="L66" s="33">
        <f>D66-H66</f>
        <v>-4556.1499999999942</v>
      </c>
      <c r="M66" s="16"/>
      <c r="N66" s="35">
        <f>IF(H66=0,0,L66/H66)</f>
        <v>0.10684290318911802</v>
      </c>
      <c r="O66" s="26"/>
      <c r="P66" s="33">
        <f>+P62-P64</f>
        <v>-153727.94999999995</v>
      </c>
      <c r="Q66" s="13"/>
      <c r="R66" s="35">
        <f>IF(P$12=0,0,P66/P$12)</f>
        <v>0</v>
      </c>
      <c r="S66" s="13"/>
      <c r="T66" s="33">
        <f>+T62-T64</f>
        <v>-134979.03999999998</v>
      </c>
      <c r="U66" s="13"/>
      <c r="V66" s="35">
        <f>IF(T$12=0,0,T66/T$12)</f>
        <v>0</v>
      </c>
      <c r="W66" s="16"/>
      <c r="X66" s="33">
        <f>P66-T66</f>
        <v>-18748.909999999974</v>
      </c>
      <c r="Y66" s="16"/>
      <c r="Z66" s="35">
        <f>IF(T66=0,0,X66/T66)</f>
        <v>0.13890238069555078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5" t="s">
        <v>293</v>
      </c>
      <c r="C69" s="25"/>
      <c r="D69" s="31">
        <f>SUM(D66:D68)</f>
        <v>-47199.599999999991</v>
      </c>
      <c r="E69" s="13"/>
      <c r="F69" s="32">
        <f>IF(D$12=0,0,D69/D$12)</f>
        <v>0</v>
      </c>
      <c r="G69" s="13"/>
      <c r="H69" s="31">
        <f>SUM(H66:H68)</f>
        <v>-42643.45</v>
      </c>
      <c r="I69" s="13"/>
      <c r="J69" s="32">
        <f>IF(H$12=0,0,H69/H$12)</f>
        <v>0</v>
      </c>
      <c r="K69" s="16"/>
      <c r="L69" s="31">
        <f>+D69-H69</f>
        <v>-4556.1499999999942</v>
      </c>
      <c r="M69" s="16"/>
      <c r="N69" s="32">
        <f>IF(H69=0,0,L69/H69)</f>
        <v>0.10684290318911802</v>
      </c>
      <c r="O69" s="26"/>
      <c r="P69" s="31">
        <f>SUM(P66:P68)</f>
        <v>-153727.94999999995</v>
      </c>
      <c r="Q69" s="13"/>
      <c r="R69" s="32">
        <f>IF(P$12=0,0,P69/P$12)</f>
        <v>0</v>
      </c>
      <c r="S69" s="13"/>
      <c r="T69" s="31">
        <f>SUM(T66:T68)</f>
        <v>-134979.03999999998</v>
      </c>
      <c r="U69" s="13"/>
      <c r="V69" s="32">
        <f>IF(T$12=0,0,T69/T$12)</f>
        <v>0</v>
      </c>
      <c r="W69" s="16"/>
      <c r="X69" s="31">
        <f>+P69-T69</f>
        <v>-18748.909999999974</v>
      </c>
      <c r="Y69" s="16"/>
      <c r="Z69" s="32">
        <f>IF(T69=0,0,X69/T69)</f>
        <v>0.13890238069555078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8">
        <v>44481.985668518515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3" t="s">
        <v>56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2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","204", " - ", "Information Technology")</f>
        <v>Department 204 - Information Technology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42220.380000000005</v>
      </c>
      <c r="E18" s="20"/>
      <c r="F18" s="30">
        <f t="shared" ref="F18:F28" si="0">IF(D$12=0,0,D18/D$12)</f>
        <v>0</v>
      </c>
      <c r="G18" s="20"/>
      <c r="H18" s="20">
        <f>SUM(OSRRefH22x_0)</f>
        <v>43962.689999999988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-1742.3099999999831</v>
      </c>
      <c r="M18" s="4"/>
      <c r="N18" s="30">
        <f t="shared" ref="N18:N28" si="3">IF(H18=0,0,L18/H18)</f>
        <v>-3.9631560307160085E-2</v>
      </c>
      <c r="O18" s="10"/>
      <c r="P18" s="20">
        <f>SUM(OSRRefP22x_0)</f>
        <v>133309.49000000002</v>
      </c>
      <c r="Q18" s="20"/>
      <c r="R18" s="30">
        <f t="shared" ref="R18:R28" si="4">IF(P$12=0,0,P18/P$12)</f>
        <v>0</v>
      </c>
      <c r="S18" s="20"/>
      <c r="T18" s="20">
        <f>SUM(OSRRefT22x_0)</f>
        <v>150767.32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-17457.829999999987</v>
      </c>
      <c r="Y18" s="4"/>
      <c r="Z18" s="30">
        <f t="shared" ref="Z18:Z28" si="7">IF(T18=0,0,X18/T18)</f>
        <v>-0.11579319709337532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10752.920000000002</v>
      </c>
      <c r="E19" s="1"/>
      <c r="F19" s="5">
        <f t="shared" si="0"/>
        <v>0</v>
      </c>
      <c r="G19" s="1"/>
      <c r="H19" s="1">
        <f>SUM(OSRRefH22_0x_0)</f>
        <v>12086.330000000002</v>
      </c>
      <c r="I19" s="1"/>
      <c r="J19" s="5">
        <f t="shared" si="1"/>
        <v>0</v>
      </c>
      <c r="K19" s="1"/>
      <c r="L19" s="1">
        <f t="shared" si="2"/>
        <v>-1333.4099999999999</v>
      </c>
      <c r="M19" s="1"/>
      <c r="N19" s="5">
        <f t="shared" si="3"/>
        <v>-0.11032381210839019</v>
      </c>
      <c r="O19" s="14"/>
      <c r="P19" s="1">
        <f>SUM(OSRRefP22_0x_0)</f>
        <v>32293.09</v>
      </c>
      <c r="Q19" s="1"/>
      <c r="R19" s="5">
        <f t="shared" si="4"/>
        <v>0</v>
      </c>
      <c r="S19" s="1"/>
      <c r="T19" s="1">
        <f>SUM(OSRRefT22_0x_0)</f>
        <v>37221</v>
      </c>
      <c r="U19" s="1"/>
      <c r="V19" s="5">
        <f t="shared" si="5"/>
        <v>0</v>
      </c>
      <c r="W19" s="1"/>
      <c r="X19" s="1">
        <f t="shared" si="6"/>
        <v>-4927.91</v>
      </c>
      <c r="Y19" s="1"/>
      <c r="Z19" s="5">
        <f t="shared" si="7"/>
        <v>-0.1323959592703044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1417.14</v>
      </c>
      <c r="E20" s="2"/>
      <c r="F20" s="6">
        <f t="shared" si="0"/>
        <v>0</v>
      </c>
      <c r="G20" s="2"/>
      <c r="H20" s="7">
        <v>1548.72</v>
      </c>
      <c r="I20" s="2"/>
      <c r="J20" s="6">
        <f t="shared" si="1"/>
        <v>0</v>
      </c>
      <c r="K20" s="2"/>
      <c r="L20" s="7">
        <f t="shared" si="2"/>
        <v>-131.57999999999993</v>
      </c>
      <c r="M20" s="2"/>
      <c r="N20" s="6">
        <f t="shared" si="3"/>
        <v>-8.4960483496048303E-2</v>
      </c>
      <c r="O20" s="11"/>
      <c r="P20" s="7">
        <v>4234.2</v>
      </c>
      <c r="Q20" s="2"/>
      <c r="R20" s="6">
        <f t="shared" si="4"/>
        <v>0</v>
      </c>
      <c r="S20" s="2"/>
      <c r="T20" s="7">
        <v>4854.8</v>
      </c>
      <c r="U20" s="2"/>
      <c r="V20" s="6">
        <f t="shared" si="5"/>
        <v>0</v>
      </c>
      <c r="W20" s="2"/>
      <c r="X20" s="7">
        <f t="shared" si="6"/>
        <v>-620.60000000000036</v>
      </c>
      <c r="Y20" s="2"/>
      <c r="Z20" s="6">
        <f t="shared" si="7"/>
        <v>-0.12783224849633359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238.97</v>
      </c>
      <c r="E21" s="2"/>
      <c r="F21" s="6">
        <f t="shared" si="0"/>
        <v>0</v>
      </c>
      <c r="G21" s="2"/>
      <c r="H21" s="7">
        <v>71.3</v>
      </c>
      <c r="I21" s="2"/>
      <c r="J21" s="6">
        <f t="shared" si="1"/>
        <v>0</v>
      </c>
      <c r="K21" s="2"/>
      <c r="L21" s="7">
        <f t="shared" si="2"/>
        <v>167.67000000000002</v>
      </c>
      <c r="M21" s="2"/>
      <c r="N21" s="6">
        <f t="shared" si="3"/>
        <v>2.3516129032258068</v>
      </c>
      <c r="O21" s="11"/>
      <c r="P21" s="7">
        <v>714.01</v>
      </c>
      <c r="Q21" s="2"/>
      <c r="R21" s="6">
        <f t="shared" si="4"/>
        <v>0</v>
      </c>
      <c r="S21" s="2"/>
      <c r="T21" s="7">
        <v>213.91</v>
      </c>
      <c r="U21" s="2"/>
      <c r="V21" s="6">
        <f t="shared" si="5"/>
        <v>0</v>
      </c>
      <c r="W21" s="2"/>
      <c r="X21" s="7">
        <f t="shared" si="6"/>
        <v>500.1</v>
      </c>
      <c r="Y21" s="2"/>
      <c r="Z21" s="6">
        <f t="shared" si="7"/>
        <v>2.3378991164508438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4867.0200000000004</v>
      </c>
      <c r="E22" s="2"/>
      <c r="F22" s="6">
        <f t="shared" si="0"/>
        <v>0</v>
      </c>
      <c r="G22" s="2"/>
      <c r="H22" s="7">
        <v>5567.87</v>
      </c>
      <c r="I22" s="2"/>
      <c r="J22" s="6">
        <f t="shared" si="1"/>
        <v>0</v>
      </c>
      <c r="K22" s="2"/>
      <c r="L22" s="7">
        <f t="shared" si="2"/>
        <v>-700.84999999999945</v>
      </c>
      <c r="M22" s="2"/>
      <c r="N22" s="6">
        <f t="shared" si="3"/>
        <v>-0.12587398771882236</v>
      </c>
      <c r="O22" s="11"/>
      <c r="P22" s="7">
        <v>14533.56</v>
      </c>
      <c r="Q22" s="2"/>
      <c r="R22" s="6">
        <f t="shared" si="4"/>
        <v>0</v>
      </c>
      <c r="S22" s="2"/>
      <c r="T22" s="7">
        <v>16703.61</v>
      </c>
      <c r="U22" s="2"/>
      <c r="V22" s="6">
        <f t="shared" si="5"/>
        <v>0</v>
      </c>
      <c r="W22" s="2"/>
      <c r="X22" s="7">
        <f t="shared" si="6"/>
        <v>-2170.0500000000011</v>
      </c>
      <c r="Y22" s="2"/>
      <c r="Z22" s="6">
        <f t="shared" si="7"/>
        <v>-0.12991503034374013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48.16</v>
      </c>
      <c r="E23" s="2"/>
      <c r="F23" s="6">
        <f t="shared" si="0"/>
        <v>0</v>
      </c>
      <c r="G23" s="2"/>
      <c r="H23" s="7">
        <v>56.17</v>
      </c>
      <c r="I23" s="2"/>
      <c r="J23" s="6">
        <f t="shared" si="1"/>
        <v>0</v>
      </c>
      <c r="K23" s="2"/>
      <c r="L23" s="7">
        <f t="shared" si="2"/>
        <v>-8.0100000000000051</v>
      </c>
      <c r="M23" s="2"/>
      <c r="N23" s="6">
        <f t="shared" si="3"/>
        <v>-0.14260281288944285</v>
      </c>
      <c r="O23" s="11"/>
      <c r="P23" s="7">
        <v>143.9</v>
      </c>
      <c r="Q23" s="2"/>
      <c r="R23" s="6">
        <f t="shared" si="4"/>
        <v>0</v>
      </c>
      <c r="S23" s="2"/>
      <c r="T23" s="7">
        <v>168.53</v>
      </c>
      <c r="U23" s="2"/>
      <c r="V23" s="6">
        <f t="shared" si="5"/>
        <v>0</v>
      </c>
      <c r="W23" s="2"/>
      <c r="X23" s="7">
        <f t="shared" si="6"/>
        <v>-24.629999999999995</v>
      </c>
      <c r="Y23" s="2"/>
      <c r="Z23" s="6">
        <f t="shared" si="7"/>
        <v>-0.14614608675013349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1834.11</v>
      </c>
      <c r="E24" s="2"/>
      <c r="F24" s="6">
        <f t="shared" si="0"/>
        <v>0</v>
      </c>
      <c r="G24" s="2"/>
      <c r="H24" s="7">
        <v>1861.21</v>
      </c>
      <c r="I24" s="2"/>
      <c r="J24" s="6">
        <f t="shared" si="1"/>
        <v>0</v>
      </c>
      <c r="K24" s="2"/>
      <c r="L24" s="7">
        <f t="shared" si="2"/>
        <v>-27.100000000000136</v>
      </c>
      <c r="M24" s="2"/>
      <c r="N24" s="6">
        <f t="shared" si="3"/>
        <v>-1.4560420371693757E-2</v>
      </c>
      <c r="O24" s="11"/>
      <c r="P24" s="7">
        <v>5502.33</v>
      </c>
      <c r="Q24" s="2"/>
      <c r="R24" s="6">
        <f t="shared" si="4"/>
        <v>0</v>
      </c>
      <c r="S24" s="2"/>
      <c r="T24" s="7">
        <v>6514.23</v>
      </c>
      <c r="U24" s="2"/>
      <c r="V24" s="6">
        <f t="shared" si="5"/>
        <v>0</v>
      </c>
      <c r="W24" s="2"/>
      <c r="X24" s="7">
        <f t="shared" si="6"/>
        <v>-1011.8999999999996</v>
      </c>
      <c r="Y24" s="2"/>
      <c r="Z24" s="6">
        <f t="shared" si="7"/>
        <v>-0.15533685485467963</v>
      </c>
    </row>
    <row r="25" spans="1:26" s="24" customFormat="1" hidden="1" outlineLevel="2" x14ac:dyDescent="0.25">
      <c r="A25" s="28"/>
      <c r="B25" s="11" t="str">
        <f>CONCATENATE("          ", "6117", " - ", "RETIREMENT STAFF HOURLY")</f>
        <v xml:space="preserve">          6117 - RETIREMENT STAFF HOURLY</v>
      </c>
      <c r="C25" s="11"/>
      <c r="D25" s="7"/>
      <c r="E25" s="2"/>
      <c r="F25" s="6">
        <f t="shared" si="0"/>
        <v>0</v>
      </c>
      <c r="G25" s="2"/>
      <c r="H25" s="7">
        <v>168.11</v>
      </c>
      <c r="I25" s="2"/>
      <c r="J25" s="6">
        <f t="shared" si="1"/>
        <v>0</v>
      </c>
      <c r="K25" s="2"/>
      <c r="L25" s="7">
        <f t="shared" si="2"/>
        <v>-168.11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587.16</v>
      </c>
      <c r="U25" s="2"/>
      <c r="V25" s="6">
        <f t="shared" si="5"/>
        <v>0</v>
      </c>
      <c r="W25" s="2"/>
      <c r="X25" s="7">
        <f t="shared" si="6"/>
        <v>-587.16</v>
      </c>
      <c r="Y25" s="2"/>
      <c r="Z25" s="6">
        <f t="shared" si="7"/>
        <v>-1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7">
        <v>1324.09</v>
      </c>
      <c r="E26" s="2"/>
      <c r="F26" s="6">
        <f t="shared" si="0"/>
        <v>0</v>
      </c>
      <c r="G26" s="2"/>
      <c r="H26" s="7">
        <v>1474.64</v>
      </c>
      <c r="I26" s="2"/>
      <c r="J26" s="6">
        <f t="shared" si="1"/>
        <v>0</v>
      </c>
      <c r="K26" s="2"/>
      <c r="L26" s="7">
        <f t="shared" si="2"/>
        <v>-150.55000000000018</v>
      </c>
      <c r="M26" s="2"/>
      <c r="N26" s="6">
        <f t="shared" si="3"/>
        <v>-0.10209271415396312</v>
      </c>
      <c r="O26" s="11"/>
      <c r="P26" s="7">
        <v>4064.19</v>
      </c>
      <c r="Q26" s="2"/>
      <c r="R26" s="6">
        <f t="shared" si="4"/>
        <v>0</v>
      </c>
      <c r="S26" s="2"/>
      <c r="T26" s="7">
        <v>4423.92</v>
      </c>
      <c r="U26" s="2"/>
      <c r="V26" s="6">
        <f t="shared" si="5"/>
        <v>0</v>
      </c>
      <c r="W26" s="2"/>
      <c r="X26" s="7">
        <f t="shared" si="6"/>
        <v>-359.73</v>
      </c>
      <c r="Y26" s="2"/>
      <c r="Z26" s="6">
        <f t="shared" si="7"/>
        <v>-8.1314761568925295E-2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7">
        <v>844.06</v>
      </c>
      <c r="E27" s="2"/>
      <c r="F27" s="6">
        <f t="shared" si="0"/>
        <v>0</v>
      </c>
      <c r="G27" s="2"/>
      <c r="H27" s="7">
        <v>999.04</v>
      </c>
      <c r="I27" s="2"/>
      <c r="J27" s="6">
        <f t="shared" si="1"/>
        <v>0</v>
      </c>
      <c r="K27" s="2"/>
      <c r="L27" s="7">
        <f t="shared" si="2"/>
        <v>-154.98000000000002</v>
      </c>
      <c r="M27" s="2"/>
      <c r="N27" s="6">
        <f t="shared" si="3"/>
        <v>-0.15512892376681617</v>
      </c>
      <c r="O27" s="11"/>
      <c r="P27" s="7">
        <v>2532.1799999999998</v>
      </c>
      <c r="Q27" s="2"/>
      <c r="R27" s="6">
        <f t="shared" si="4"/>
        <v>0</v>
      </c>
      <c r="S27" s="2"/>
      <c r="T27" s="7">
        <v>2997.12</v>
      </c>
      <c r="U27" s="2"/>
      <c r="V27" s="6">
        <f t="shared" si="5"/>
        <v>0</v>
      </c>
      <c r="W27" s="2"/>
      <c r="X27" s="7">
        <f t="shared" si="6"/>
        <v>-464.94000000000005</v>
      </c>
      <c r="Y27" s="2"/>
      <c r="Z27" s="6">
        <f t="shared" si="7"/>
        <v>-0.15512892376681617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7">
        <v>179.37</v>
      </c>
      <c r="E28" s="2"/>
      <c r="F28" s="6">
        <f t="shared" si="0"/>
        <v>0</v>
      </c>
      <c r="G28" s="2"/>
      <c r="H28" s="7">
        <v>339.27</v>
      </c>
      <c r="I28" s="2"/>
      <c r="J28" s="6">
        <f t="shared" si="1"/>
        <v>0</v>
      </c>
      <c r="K28" s="2"/>
      <c r="L28" s="7">
        <f t="shared" si="2"/>
        <v>-159.89999999999998</v>
      </c>
      <c r="M28" s="2"/>
      <c r="N28" s="6">
        <f t="shared" si="3"/>
        <v>-0.47130603943761601</v>
      </c>
      <c r="O28" s="11"/>
      <c r="P28" s="7">
        <v>568.72</v>
      </c>
      <c r="Q28" s="2"/>
      <c r="R28" s="6">
        <f t="shared" si="4"/>
        <v>0</v>
      </c>
      <c r="S28" s="2"/>
      <c r="T28" s="7">
        <v>757.72</v>
      </c>
      <c r="U28" s="2"/>
      <c r="V28" s="6">
        <f t="shared" si="5"/>
        <v>0</v>
      </c>
      <c r="W28" s="2"/>
      <c r="X28" s="7">
        <f t="shared" si="6"/>
        <v>-189</v>
      </c>
      <c r="Y28" s="2"/>
      <c r="Z28" s="6">
        <f t="shared" si="7"/>
        <v>-0.24943250805046718</v>
      </c>
    </row>
    <row r="29" spans="1:26" s="27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16172.63</v>
      </c>
      <c r="E29" s="1"/>
      <c r="F29" s="5">
        <f t="shared" ref="F29:F32" si="8">IF(D$12=0,0,D29/D$12)</f>
        <v>0</v>
      </c>
      <c r="G29" s="1"/>
      <c r="H29" s="1">
        <f>SUM(OSRRefH22_1x_0)</f>
        <v>19965.489999999998</v>
      </c>
      <c r="I29" s="1"/>
      <c r="J29" s="5">
        <f t="shared" ref="J29:J32" si="9">IF(H$12=0,0,H29/H$12)</f>
        <v>0</v>
      </c>
      <c r="K29" s="1"/>
      <c r="L29" s="1">
        <f t="shared" ref="L29:L32" si="10">+D29-H29</f>
        <v>-3792.8599999999988</v>
      </c>
      <c r="M29" s="1"/>
      <c r="N29" s="5">
        <f t="shared" ref="N29:N32" si="11">IF(H29=0,0,L29/H29)</f>
        <v>-0.18997079460609276</v>
      </c>
      <c r="O29" s="14"/>
      <c r="P29" s="1">
        <f>SUM(OSRRefP22_1x_0)</f>
        <v>55079.040000000001</v>
      </c>
      <c r="Q29" s="1"/>
      <c r="R29" s="5">
        <f t="shared" ref="R29:R32" si="12">IF(P$12=0,0,P29/P$12)</f>
        <v>0</v>
      </c>
      <c r="S29" s="1"/>
      <c r="T29" s="1">
        <f>SUM(OSRRefT22_1x_0)</f>
        <v>64794.75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-9715.7099999999991</v>
      </c>
      <c r="Y29" s="1"/>
      <c r="Z29" s="5">
        <f t="shared" ref="Z29:Z32" si="15">IF(T29=0,0,X29/T29)</f>
        <v>-0.1499459446945933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7">
        <v>16172.63</v>
      </c>
      <c r="E30" s="2"/>
      <c r="F30" s="6">
        <f t="shared" si="8"/>
        <v>0</v>
      </c>
      <c r="G30" s="2"/>
      <c r="H30" s="7">
        <v>17443.39</v>
      </c>
      <c r="I30" s="2"/>
      <c r="J30" s="6">
        <f t="shared" si="9"/>
        <v>0</v>
      </c>
      <c r="K30" s="2"/>
      <c r="L30" s="7">
        <f t="shared" si="10"/>
        <v>-1270.7600000000002</v>
      </c>
      <c r="M30" s="2"/>
      <c r="N30" s="6">
        <f t="shared" si="11"/>
        <v>-7.2850518161894001E-2</v>
      </c>
      <c r="O30" s="11"/>
      <c r="P30" s="7">
        <v>55079.040000000001</v>
      </c>
      <c r="Q30" s="2"/>
      <c r="R30" s="6">
        <f t="shared" si="12"/>
        <v>0</v>
      </c>
      <c r="S30" s="2"/>
      <c r="T30" s="7">
        <v>56243.86</v>
      </c>
      <c r="U30" s="2"/>
      <c r="V30" s="6">
        <f t="shared" si="13"/>
        <v>0</v>
      </c>
      <c r="W30" s="2"/>
      <c r="X30" s="7">
        <f t="shared" si="14"/>
        <v>-1164.8199999999997</v>
      </c>
      <c r="Y30" s="2"/>
      <c r="Z30" s="6">
        <f t="shared" si="15"/>
        <v>-2.0710171741413191E-2</v>
      </c>
    </row>
    <row r="31" spans="1:26" s="24" customFormat="1" hidden="1" outlineLevel="2" x14ac:dyDescent="0.25">
      <c r="A31" s="28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8"/>
        <v>0</v>
      </c>
      <c r="G31" s="2"/>
      <c r="H31" s="7">
        <v>1682.1</v>
      </c>
      <c r="I31" s="2"/>
      <c r="J31" s="6">
        <f t="shared" si="9"/>
        <v>0</v>
      </c>
      <c r="K31" s="2"/>
      <c r="L31" s="7">
        <f t="shared" si="10"/>
        <v>-1682.1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7710.89</v>
      </c>
      <c r="U31" s="2"/>
      <c r="V31" s="6">
        <f t="shared" si="13"/>
        <v>0</v>
      </c>
      <c r="W31" s="2"/>
      <c r="X31" s="7">
        <f t="shared" si="14"/>
        <v>-7710.89</v>
      </c>
      <c r="Y31" s="2"/>
      <c r="Z31" s="6">
        <f t="shared" si="15"/>
        <v>-1</v>
      </c>
    </row>
    <row r="32" spans="1:26" s="24" customFormat="1" hidden="1" outlineLevel="2" x14ac:dyDescent="0.25">
      <c r="A32" s="28"/>
      <c r="B32" s="11" t="str">
        <f>CONCATENATE("          ", "6007", " - ", "STUDENT HOURLY")</f>
        <v xml:space="preserve">          6007 - STUDENT HOURLY</v>
      </c>
      <c r="C32" s="11"/>
      <c r="D32" s="7"/>
      <c r="E32" s="2"/>
      <c r="F32" s="6">
        <f t="shared" si="8"/>
        <v>0</v>
      </c>
      <c r="G32" s="2"/>
      <c r="H32" s="7">
        <v>840</v>
      </c>
      <c r="I32" s="2"/>
      <c r="J32" s="6">
        <f t="shared" si="9"/>
        <v>0</v>
      </c>
      <c r="K32" s="2"/>
      <c r="L32" s="7">
        <f t="shared" si="10"/>
        <v>-840</v>
      </c>
      <c r="M32" s="2"/>
      <c r="N32" s="6">
        <f t="shared" si="11"/>
        <v>-1</v>
      </c>
      <c r="O32" s="11"/>
      <c r="P32" s="7"/>
      <c r="Q32" s="2"/>
      <c r="R32" s="6">
        <f t="shared" si="12"/>
        <v>0</v>
      </c>
      <c r="S32" s="2"/>
      <c r="T32" s="7">
        <v>840</v>
      </c>
      <c r="U32" s="2"/>
      <c r="V32" s="6">
        <f t="shared" si="13"/>
        <v>0</v>
      </c>
      <c r="W32" s="2"/>
      <c r="X32" s="7">
        <f t="shared" si="14"/>
        <v>-840</v>
      </c>
      <c r="Y32" s="2"/>
      <c r="Z32" s="6">
        <f t="shared" si="15"/>
        <v>-1</v>
      </c>
    </row>
    <row r="33" spans="1:26" s="27" customFormat="1" outlineLevel="1" collapsed="1" x14ac:dyDescent="0.25">
      <c r="A33" s="29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SUM(OSRRefD22_2x_0)</f>
        <v>5098.3599999999997</v>
      </c>
      <c r="E33" s="1"/>
      <c r="F33" s="5">
        <f t="shared" ref="F33:F40" si="16">IF(D$12=0,0,D33/D$12)</f>
        <v>0</v>
      </c>
      <c r="G33" s="1"/>
      <c r="H33" s="1">
        <f>SUM(OSRRefH22_2x_0)</f>
        <v>5462.13</v>
      </c>
      <c r="I33" s="1"/>
      <c r="J33" s="5">
        <f t="shared" ref="J33:J40" si="17">IF(H$12=0,0,H33/H$12)</f>
        <v>0</v>
      </c>
      <c r="K33" s="1"/>
      <c r="L33" s="1">
        <f t="shared" ref="L33:L40" si="18">+D33-H33</f>
        <v>-363.77000000000044</v>
      </c>
      <c r="M33" s="1"/>
      <c r="N33" s="5">
        <f t="shared" ref="N33:N40" si="19">IF(H33=0,0,L33/H33)</f>
        <v>-6.6598561367085807E-2</v>
      </c>
      <c r="O33" s="14"/>
      <c r="P33" s="1">
        <f>SUM(OSRRefP22_2x_0)</f>
        <v>15295.1</v>
      </c>
      <c r="Q33" s="1"/>
      <c r="R33" s="5">
        <f t="shared" ref="R33:R40" si="20">IF(P$12=0,0,P33/P$12)</f>
        <v>0</v>
      </c>
      <c r="S33" s="1"/>
      <c r="T33" s="1">
        <f>SUM(OSRRefT22_2x_0)</f>
        <v>16386.41</v>
      </c>
      <c r="U33" s="1"/>
      <c r="V33" s="5">
        <f t="shared" ref="V33:V40" si="21">IF(T$12=0,0,T33/T$12)</f>
        <v>0</v>
      </c>
      <c r="W33" s="1"/>
      <c r="X33" s="1">
        <f t="shared" ref="X33:X40" si="22">+P33-T33</f>
        <v>-1091.3099999999995</v>
      </c>
      <c r="Y33" s="1"/>
      <c r="Z33" s="5">
        <f t="shared" ref="Z33:Z40" si="23">IF(T33=0,0,X33/T33)</f>
        <v>-6.6598480081970335E-2</v>
      </c>
    </row>
    <row r="34" spans="1:26" s="24" customFormat="1" hidden="1" outlineLevel="2" x14ac:dyDescent="0.25">
      <c r="A34" s="28"/>
      <c r="B34" s="11" t="str">
        <f>CONCATENATE("          ", "6322", " - ", "EQUIPMENT DEPRECIATION EXPENSE")</f>
        <v xml:space="preserve">          6322 - EQUIPMENT DEPRECIATION EXPENSE</v>
      </c>
      <c r="C34" s="11"/>
      <c r="D34" s="7">
        <v>5098.3599999999997</v>
      </c>
      <c r="E34" s="2"/>
      <c r="F34" s="6">
        <f t="shared" si="16"/>
        <v>0</v>
      </c>
      <c r="G34" s="2"/>
      <c r="H34" s="7">
        <v>5462.13</v>
      </c>
      <c r="I34" s="2"/>
      <c r="J34" s="6">
        <f t="shared" si="17"/>
        <v>0</v>
      </c>
      <c r="K34" s="2"/>
      <c r="L34" s="7">
        <f t="shared" si="18"/>
        <v>-363.77000000000044</v>
      </c>
      <c r="M34" s="2"/>
      <c r="N34" s="6">
        <f t="shared" si="19"/>
        <v>-6.6598561367085807E-2</v>
      </c>
      <c r="O34" s="11"/>
      <c r="P34" s="7">
        <v>15295.1</v>
      </c>
      <c r="Q34" s="2"/>
      <c r="R34" s="6">
        <f t="shared" si="20"/>
        <v>0</v>
      </c>
      <c r="S34" s="2"/>
      <c r="T34" s="7">
        <v>16386.41</v>
      </c>
      <c r="U34" s="2"/>
      <c r="V34" s="6">
        <f t="shared" si="21"/>
        <v>0</v>
      </c>
      <c r="W34" s="2"/>
      <c r="X34" s="7">
        <f t="shared" si="22"/>
        <v>-1091.3099999999995</v>
      </c>
      <c r="Y34" s="2"/>
      <c r="Z34" s="6">
        <f t="shared" si="23"/>
        <v>-6.6598480081970335E-2</v>
      </c>
    </row>
    <row r="35" spans="1:26" s="27" customFormat="1" outlineLevel="1" collapsed="1" x14ac:dyDescent="0.25">
      <c r="A35" s="29"/>
      <c r="B35" s="14" t="str">
        <f>CONCATENATE("     ","Insurance                                         ")</f>
        <v xml:space="preserve">     Insurance                                         </v>
      </c>
      <c r="C35" s="14"/>
      <c r="D35" s="1">
        <f>SUM(OSRRefD22_3x_0)</f>
        <v>76.569999999999993</v>
      </c>
      <c r="E35" s="1"/>
      <c r="F35" s="5">
        <f t="shared" si="16"/>
        <v>0</v>
      </c>
      <c r="G35" s="1"/>
      <c r="H35" s="1">
        <f>SUM(OSRRefH22_3x_0)</f>
        <v>56.34</v>
      </c>
      <c r="I35" s="1"/>
      <c r="J35" s="5">
        <f t="shared" si="17"/>
        <v>0</v>
      </c>
      <c r="K35" s="1"/>
      <c r="L35" s="1">
        <f t="shared" si="18"/>
        <v>20.22999999999999</v>
      </c>
      <c r="M35" s="1"/>
      <c r="N35" s="5">
        <f t="shared" si="19"/>
        <v>0.35906993255236047</v>
      </c>
      <c r="O35" s="14"/>
      <c r="P35" s="1">
        <f>SUM(OSRRefP22_3x_0)</f>
        <v>229.71</v>
      </c>
      <c r="Q35" s="1"/>
      <c r="R35" s="5">
        <f t="shared" si="20"/>
        <v>0</v>
      </c>
      <c r="S35" s="1"/>
      <c r="T35" s="1">
        <f>SUM(OSRRefT22_3x_0)</f>
        <v>169.02</v>
      </c>
      <c r="U35" s="1"/>
      <c r="V35" s="5">
        <f t="shared" si="21"/>
        <v>0</v>
      </c>
      <c r="W35" s="1"/>
      <c r="X35" s="1">
        <f t="shared" si="22"/>
        <v>60.69</v>
      </c>
      <c r="Y35" s="1"/>
      <c r="Z35" s="5">
        <f t="shared" si="23"/>
        <v>0.35906993255236064</v>
      </c>
    </row>
    <row r="36" spans="1:26" s="24" customFormat="1" hidden="1" outlineLevel="2" x14ac:dyDescent="0.25">
      <c r="A36" s="28"/>
      <c r="B36" s="11" t="str">
        <f>CONCATENATE("          ", "6314", " - ", "LIABILITY INSURANCE")</f>
        <v xml:space="preserve">          6314 - LIABILITY INSURANCE</v>
      </c>
      <c r="C36" s="11"/>
      <c r="D36" s="7">
        <v>76.569999999999993</v>
      </c>
      <c r="E36" s="2"/>
      <c r="F36" s="6">
        <f t="shared" si="16"/>
        <v>0</v>
      </c>
      <c r="G36" s="2"/>
      <c r="H36" s="7">
        <v>56.34</v>
      </c>
      <c r="I36" s="2"/>
      <c r="J36" s="6">
        <f t="shared" si="17"/>
        <v>0</v>
      </c>
      <c r="K36" s="2"/>
      <c r="L36" s="7">
        <f t="shared" si="18"/>
        <v>20.22999999999999</v>
      </c>
      <c r="M36" s="2"/>
      <c r="N36" s="6">
        <f t="shared" si="19"/>
        <v>0.35906993255236047</v>
      </c>
      <c r="O36" s="11"/>
      <c r="P36" s="7">
        <v>229.71</v>
      </c>
      <c r="Q36" s="2"/>
      <c r="R36" s="6">
        <f t="shared" si="20"/>
        <v>0</v>
      </c>
      <c r="S36" s="2"/>
      <c r="T36" s="7">
        <v>169.02</v>
      </c>
      <c r="U36" s="2"/>
      <c r="V36" s="6">
        <f t="shared" si="21"/>
        <v>0</v>
      </c>
      <c r="W36" s="2"/>
      <c r="X36" s="7">
        <f t="shared" si="22"/>
        <v>60.69</v>
      </c>
      <c r="Y36" s="2"/>
      <c r="Z36" s="6">
        <f t="shared" si="23"/>
        <v>0.35906993255236064</v>
      </c>
    </row>
    <row r="37" spans="1:26" s="27" customFormat="1" outlineLevel="1" collapsed="1" x14ac:dyDescent="0.25">
      <c r="A37" s="29"/>
      <c r="B37" s="14" t="str">
        <f>CONCATENATE("     ","Repair and Maintenance                            ")</f>
        <v xml:space="preserve">     Repair and Maintenance                            </v>
      </c>
      <c r="C37" s="14"/>
      <c r="D37" s="1">
        <f>SUM(OSRRefD22_4x_0)</f>
        <v>9466</v>
      </c>
      <c r="E37" s="1"/>
      <c r="F37" s="5">
        <f t="shared" si="16"/>
        <v>0</v>
      </c>
      <c r="G37" s="1"/>
      <c r="H37" s="1">
        <f>SUM(OSRRefH22_4x_0)</f>
        <v>10192</v>
      </c>
      <c r="I37" s="1"/>
      <c r="J37" s="5">
        <f t="shared" si="17"/>
        <v>0</v>
      </c>
      <c r="K37" s="1"/>
      <c r="L37" s="1">
        <f t="shared" si="18"/>
        <v>-726</v>
      </c>
      <c r="M37" s="1"/>
      <c r="N37" s="5">
        <f t="shared" si="19"/>
        <v>-7.1232339089481941E-2</v>
      </c>
      <c r="O37" s="14"/>
      <c r="P37" s="1">
        <f>SUM(OSRRefP22_4x_0)</f>
        <v>27704.52</v>
      </c>
      <c r="Q37" s="1"/>
      <c r="R37" s="5">
        <f t="shared" si="20"/>
        <v>0</v>
      </c>
      <c r="S37" s="1"/>
      <c r="T37" s="1">
        <f>SUM(OSRRefT22_4x_0)</f>
        <v>34176</v>
      </c>
      <c r="U37" s="1"/>
      <c r="V37" s="5">
        <f t="shared" si="21"/>
        <v>0</v>
      </c>
      <c r="W37" s="1"/>
      <c r="X37" s="1">
        <f t="shared" si="22"/>
        <v>-6471.48</v>
      </c>
      <c r="Y37" s="1"/>
      <c r="Z37" s="5">
        <f t="shared" si="23"/>
        <v>-0.18935744382022471</v>
      </c>
    </row>
    <row r="38" spans="1:26" s="24" customFormat="1" hidden="1" outlineLevel="2" x14ac:dyDescent="0.25">
      <c r="A38" s="28"/>
      <c r="B38" s="11" t="str">
        <f>CONCATENATE("          ", "6371", " - ", "COMPUTER SOFTWARE MAINTENANCE")</f>
        <v xml:space="preserve">          6371 - COMPUTER SOFTWARE MAINTENANCE</v>
      </c>
      <c r="C38" s="11"/>
      <c r="D38" s="7"/>
      <c r="E38" s="2"/>
      <c r="F38" s="6">
        <f t="shared" si="16"/>
        <v>0</v>
      </c>
      <c r="G38" s="2"/>
      <c r="H38" s="7"/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>
        <v>1659</v>
      </c>
      <c r="Q38" s="2"/>
      <c r="R38" s="6">
        <f t="shared" si="20"/>
        <v>0</v>
      </c>
      <c r="S38" s="2"/>
      <c r="T38" s="7"/>
      <c r="U38" s="2"/>
      <c r="V38" s="6">
        <f t="shared" si="21"/>
        <v>0</v>
      </c>
      <c r="W38" s="2"/>
      <c r="X38" s="7">
        <f t="shared" si="22"/>
        <v>1659</v>
      </c>
      <c r="Y38" s="2"/>
      <c r="Z38" s="6">
        <f t="shared" si="23"/>
        <v>0</v>
      </c>
    </row>
    <row r="39" spans="1:26" s="24" customFormat="1" hidden="1" outlineLevel="2" x14ac:dyDescent="0.25">
      <c r="A39" s="28"/>
      <c r="B39" s="11" t="str">
        <f>CONCATENATE("          ", "6373", " - ", "MAINTENANCE CONTRACTS")</f>
        <v xml:space="preserve">          6373 - MAINTENANCE CONTRACTS</v>
      </c>
      <c r="C39" s="11"/>
      <c r="D39" s="7">
        <v>9466</v>
      </c>
      <c r="E39" s="2"/>
      <c r="F39" s="6">
        <f t="shared" si="16"/>
        <v>0</v>
      </c>
      <c r="G39" s="2"/>
      <c r="H39" s="7">
        <v>10192</v>
      </c>
      <c r="I39" s="2"/>
      <c r="J39" s="6">
        <f t="shared" si="17"/>
        <v>0</v>
      </c>
      <c r="K39" s="2"/>
      <c r="L39" s="7">
        <f t="shared" si="18"/>
        <v>-726</v>
      </c>
      <c r="M39" s="2"/>
      <c r="N39" s="6">
        <f t="shared" si="19"/>
        <v>-7.1232339089481941E-2</v>
      </c>
      <c r="O39" s="11"/>
      <c r="P39" s="7">
        <v>25998</v>
      </c>
      <c r="Q39" s="2"/>
      <c r="R39" s="6">
        <f t="shared" si="20"/>
        <v>0</v>
      </c>
      <c r="S39" s="2"/>
      <c r="T39" s="7">
        <v>34176</v>
      </c>
      <c r="U39" s="2"/>
      <c r="V39" s="6">
        <f t="shared" si="21"/>
        <v>0</v>
      </c>
      <c r="W39" s="2"/>
      <c r="X39" s="7">
        <f t="shared" si="22"/>
        <v>-8178</v>
      </c>
      <c r="Y39" s="2"/>
      <c r="Z39" s="6">
        <f t="shared" si="23"/>
        <v>-0.23929073033707865</v>
      </c>
    </row>
    <row r="40" spans="1:26" s="24" customFormat="1" hidden="1" outlineLevel="2" x14ac:dyDescent="0.25">
      <c r="A40" s="28"/>
      <c r="B40" s="11" t="str">
        <f>CONCATENATE("          ", "6375", " - ", "OUTSIDE REPAIRS &amp; MAINTENANCE")</f>
        <v xml:space="preserve">          6375 - OUTSIDE REPAIRS &amp; MAINTENANCE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>
        <v>47.52</v>
      </c>
      <c r="Q40" s="2"/>
      <c r="R40" s="6">
        <f t="shared" si="20"/>
        <v>0</v>
      </c>
      <c r="S40" s="2"/>
      <c r="T40" s="7"/>
      <c r="U40" s="2"/>
      <c r="V40" s="6">
        <f t="shared" si="21"/>
        <v>0</v>
      </c>
      <c r="W40" s="2"/>
      <c r="X40" s="7">
        <f t="shared" si="22"/>
        <v>47.52</v>
      </c>
      <c r="Y40" s="2"/>
      <c r="Z40" s="6">
        <f t="shared" si="23"/>
        <v>0</v>
      </c>
    </row>
    <row r="41" spans="1:26" s="27" customFormat="1" outlineLevel="1" collapsed="1" x14ac:dyDescent="0.25">
      <c r="A41" s="29"/>
      <c r="B41" s="14" t="str">
        <f>CONCATENATE("     ","Supplies                                          ")</f>
        <v xml:space="preserve">     Supplies                                          </v>
      </c>
      <c r="C41" s="14"/>
      <c r="D41" s="1">
        <f>SUM(OSRRefD22_5x_0)</f>
        <v>0</v>
      </c>
      <c r="E41" s="1"/>
      <c r="F41" s="5">
        <f t="shared" ref="F41:F45" si="24">IF(D$12=0,0,D41/D$12)</f>
        <v>0</v>
      </c>
      <c r="G41" s="1"/>
      <c r="H41" s="1">
        <f>SUM(OSRRefH22_5x_0)</f>
        <v>-4457.97</v>
      </c>
      <c r="I41" s="1"/>
      <c r="J41" s="5">
        <f t="shared" ref="J41:J45" si="25">IF(H$12=0,0,H41/H$12)</f>
        <v>0</v>
      </c>
      <c r="K41" s="1"/>
      <c r="L41" s="1">
        <f t="shared" ref="L41:L45" si="26">+D41-H41</f>
        <v>4457.97</v>
      </c>
      <c r="M41" s="1"/>
      <c r="N41" s="5">
        <f t="shared" ref="N41:N45" si="27">IF(H41=0,0,L41/H41)</f>
        <v>-1</v>
      </c>
      <c r="O41" s="14"/>
      <c r="P41" s="1">
        <f>SUM(OSRRefP22_5x_0)</f>
        <v>336.92</v>
      </c>
      <c r="Q41" s="1"/>
      <c r="R41" s="5">
        <f t="shared" ref="R41:R45" si="28">IF(P$12=0,0,P41/P$12)</f>
        <v>0</v>
      </c>
      <c r="S41" s="1"/>
      <c r="T41" s="1">
        <f>SUM(OSRRefT22_5x_0)</f>
        <v>-4502.05</v>
      </c>
      <c r="U41" s="1"/>
      <c r="V41" s="5">
        <f t="shared" ref="V41:V45" si="29">IF(T$12=0,0,T41/T$12)</f>
        <v>0</v>
      </c>
      <c r="W41" s="1"/>
      <c r="X41" s="1">
        <f t="shared" ref="X41:X45" si="30">+P41-T41</f>
        <v>4838.97</v>
      </c>
      <c r="Y41" s="1"/>
      <c r="Z41" s="5">
        <f t="shared" ref="Z41:Z45" si="31">IF(T41=0,0,X41/T41)</f>
        <v>-1.0748370186914851</v>
      </c>
    </row>
    <row r="42" spans="1:26" s="24" customFormat="1" hidden="1" outlineLevel="2" x14ac:dyDescent="0.25">
      <c r="A42" s="28"/>
      <c r="B42" s="11" t="str">
        <f>CONCATENATE("          ", "6241", " - ", "OFFICE EXPENSE")</f>
        <v xml:space="preserve">          6241 - OFFICE EXPENSE</v>
      </c>
      <c r="C42" s="11"/>
      <c r="D42" s="7"/>
      <c r="E42" s="2"/>
      <c r="F42" s="6">
        <f t="shared" si="24"/>
        <v>0</v>
      </c>
      <c r="G42" s="2"/>
      <c r="H42" s="7">
        <v>-4457.97</v>
      </c>
      <c r="I42" s="2"/>
      <c r="J42" s="6">
        <f t="shared" si="25"/>
        <v>0</v>
      </c>
      <c r="K42" s="2"/>
      <c r="L42" s="7">
        <f t="shared" si="26"/>
        <v>4457.97</v>
      </c>
      <c r="M42" s="2"/>
      <c r="N42" s="6">
        <f t="shared" si="27"/>
        <v>-1</v>
      </c>
      <c r="O42" s="11"/>
      <c r="P42" s="7">
        <v>336.92</v>
      </c>
      <c r="Q42" s="2"/>
      <c r="R42" s="6">
        <f t="shared" si="28"/>
        <v>0</v>
      </c>
      <c r="S42" s="2"/>
      <c r="T42" s="7">
        <v>-4502.05</v>
      </c>
      <c r="U42" s="2"/>
      <c r="V42" s="6">
        <f t="shared" si="29"/>
        <v>0</v>
      </c>
      <c r="W42" s="2"/>
      <c r="X42" s="7">
        <f t="shared" si="30"/>
        <v>4838.97</v>
      </c>
      <c r="Y42" s="2"/>
      <c r="Z42" s="6">
        <f t="shared" si="31"/>
        <v>-1.0748370186914851</v>
      </c>
    </row>
    <row r="43" spans="1:26" s="27" customFormat="1" outlineLevel="1" collapsed="1" x14ac:dyDescent="0.25">
      <c r="A43" s="29"/>
      <c r="B43" s="14" t="str">
        <f>CONCATENATE("     ","Telephone/Data Lines                              ")</f>
        <v xml:space="preserve">     Telephone/Data Lines                              </v>
      </c>
      <c r="C43" s="14"/>
      <c r="D43" s="1">
        <f>SUM(OSRRefD22_6x_0)</f>
        <v>653.9</v>
      </c>
      <c r="E43" s="1"/>
      <c r="F43" s="5">
        <f t="shared" si="24"/>
        <v>0</v>
      </c>
      <c r="G43" s="1"/>
      <c r="H43" s="1">
        <f>SUM(OSRRefH22_6x_0)</f>
        <v>658.37</v>
      </c>
      <c r="I43" s="1"/>
      <c r="J43" s="5">
        <f t="shared" si="25"/>
        <v>0</v>
      </c>
      <c r="K43" s="1"/>
      <c r="L43" s="1">
        <f t="shared" si="26"/>
        <v>-4.4700000000000273</v>
      </c>
      <c r="M43" s="1"/>
      <c r="N43" s="5">
        <f t="shared" si="27"/>
        <v>-6.789495268617992E-3</v>
      </c>
      <c r="O43" s="14"/>
      <c r="P43" s="1">
        <f>SUM(OSRRefP22_6x_0)</f>
        <v>2371.11</v>
      </c>
      <c r="Q43" s="1"/>
      <c r="R43" s="5">
        <f t="shared" si="28"/>
        <v>0</v>
      </c>
      <c r="S43" s="1"/>
      <c r="T43" s="1">
        <f>SUM(OSRRefT22_6x_0)</f>
        <v>2522.1899999999996</v>
      </c>
      <c r="U43" s="1"/>
      <c r="V43" s="5">
        <f t="shared" si="29"/>
        <v>0</v>
      </c>
      <c r="W43" s="1"/>
      <c r="X43" s="1">
        <f t="shared" si="30"/>
        <v>-151.07999999999947</v>
      </c>
      <c r="Y43" s="1"/>
      <c r="Z43" s="5">
        <f t="shared" si="31"/>
        <v>-5.9900324717804564E-2</v>
      </c>
    </row>
    <row r="44" spans="1:26" s="24" customFormat="1" hidden="1" outlineLevel="2" x14ac:dyDescent="0.25">
      <c r="A44" s="28"/>
      <c r="B44" s="11" t="str">
        <f>CONCATENATE("          ", "6303", " - ", "DATA PHONE LINES")</f>
        <v xml:space="preserve">          6303 - DATA PHONE LINES</v>
      </c>
      <c r="C44" s="11"/>
      <c r="D44" s="7"/>
      <c r="E44" s="2"/>
      <c r="F44" s="6">
        <f t="shared" si="24"/>
        <v>0</v>
      </c>
      <c r="G44" s="2"/>
      <c r="H44" s="7">
        <v>78.989999999999995</v>
      </c>
      <c r="I44" s="2"/>
      <c r="J44" s="6">
        <f t="shared" si="25"/>
        <v>0</v>
      </c>
      <c r="K44" s="2"/>
      <c r="L44" s="7">
        <f t="shared" si="26"/>
        <v>-78.989999999999995</v>
      </c>
      <c r="M44" s="2"/>
      <c r="N44" s="6">
        <f t="shared" si="27"/>
        <v>-1</v>
      </c>
      <c r="O44" s="11"/>
      <c r="P44" s="7">
        <v>323.95999999999998</v>
      </c>
      <c r="Q44" s="2"/>
      <c r="R44" s="6">
        <f t="shared" si="28"/>
        <v>0</v>
      </c>
      <c r="S44" s="2"/>
      <c r="T44" s="7">
        <v>236.97</v>
      </c>
      <c r="U44" s="2"/>
      <c r="V44" s="6">
        <f t="shared" si="29"/>
        <v>0</v>
      </c>
      <c r="W44" s="2"/>
      <c r="X44" s="7">
        <f t="shared" si="30"/>
        <v>86.989999999999981</v>
      </c>
      <c r="Y44" s="2"/>
      <c r="Z44" s="6">
        <f t="shared" si="31"/>
        <v>0.36709288095539511</v>
      </c>
    </row>
    <row r="45" spans="1:26" s="24" customFormat="1" hidden="1" outlineLevel="2" x14ac:dyDescent="0.25">
      <c r="A45" s="28"/>
      <c r="B45" s="11" t="str">
        <f>CONCATENATE("          ", "6309", " - ", "TELEPHONE")</f>
        <v xml:space="preserve">          6309 - TELEPHONE</v>
      </c>
      <c r="C45" s="11"/>
      <c r="D45" s="7">
        <v>653.9</v>
      </c>
      <c r="E45" s="2"/>
      <c r="F45" s="6">
        <f t="shared" si="24"/>
        <v>0</v>
      </c>
      <c r="G45" s="2"/>
      <c r="H45" s="7">
        <v>579.38</v>
      </c>
      <c r="I45" s="2"/>
      <c r="J45" s="6">
        <f t="shared" si="25"/>
        <v>0</v>
      </c>
      <c r="K45" s="2"/>
      <c r="L45" s="7">
        <f t="shared" si="26"/>
        <v>74.519999999999982</v>
      </c>
      <c r="M45" s="2"/>
      <c r="N45" s="6">
        <f t="shared" si="27"/>
        <v>0.12862024923193754</v>
      </c>
      <c r="O45" s="11"/>
      <c r="P45" s="7">
        <v>2047.15</v>
      </c>
      <c r="Q45" s="2"/>
      <c r="R45" s="6">
        <f t="shared" si="28"/>
        <v>0</v>
      </c>
      <c r="S45" s="2"/>
      <c r="T45" s="7">
        <v>2285.2199999999998</v>
      </c>
      <c r="U45" s="2"/>
      <c r="V45" s="6">
        <f t="shared" si="29"/>
        <v>0</v>
      </c>
      <c r="W45" s="2"/>
      <c r="X45" s="7">
        <f t="shared" si="30"/>
        <v>-238.06999999999971</v>
      </c>
      <c r="Y45" s="2"/>
      <c r="Z45" s="6">
        <f t="shared" si="31"/>
        <v>-0.10417815352569981</v>
      </c>
    </row>
    <row r="46" spans="1:26" s="54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6" t="s">
        <v>292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5" t="s">
        <v>276</v>
      </c>
      <c r="C49" s="25"/>
      <c r="D49" s="21">
        <f>+D16-D18+D47</f>
        <v>-42220.380000000005</v>
      </c>
      <c r="E49" s="13"/>
      <c r="F49" s="22">
        <f>IF(D$12=0,0,D49/D$12)</f>
        <v>0</v>
      </c>
      <c r="G49" s="13"/>
      <c r="H49" s="21">
        <f>+H16-H18+H47</f>
        <v>-43962.689999999988</v>
      </c>
      <c r="I49" s="13"/>
      <c r="J49" s="22">
        <f>IF(H$12=0,0,H49/H$12)</f>
        <v>0</v>
      </c>
      <c r="K49" s="16"/>
      <c r="L49" s="21">
        <f>+D49-H49</f>
        <v>1742.3099999999831</v>
      </c>
      <c r="M49" s="16"/>
      <c r="N49" s="22">
        <f>IF(H49=0,0,L49/H49)</f>
        <v>-3.9631560307160085E-2</v>
      </c>
      <c r="O49" s="26"/>
      <c r="P49" s="21">
        <f>+P16-P18+P47</f>
        <v>-133309.49000000002</v>
      </c>
      <c r="Q49" s="13"/>
      <c r="R49" s="22">
        <f>IF(P$12=0,0,P49/P$12)</f>
        <v>0</v>
      </c>
      <c r="S49" s="13"/>
      <c r="T49" s="21">
        <f>+T16-T18+T47</f>
        <v>-150767.32</v>
      </c>
      <c r="U49" s="13"/>
      <c r="V49" s="22">
        <f>IF(T$12=0,0,T49/T$12)</f>
        <v>0</v>
      </c>
      <c r="W49" s="16"/>
      <c r="X49" s="21">
        <f>+P49-T49</f>
        <v>17457.829999999987</v>
      </c>
      <c r="Y49" s="16"/>
      <c r="Z49" s="22">
        <f>IF(T49=0,0,X49/T49)</f>
        <v>-0.11579319709337532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1"/>
      <c r="B51" s="10" t="s">
        <v>127</v>
      </c>
      <c r="C51" s="10"/>
      <c r="D51" s="4"/>
      <c r="E51" s="4"/>
      <c r="F51" s="12">
        <f>IF(D$12=0,0,D51/D$12)</f>
        <v>0</v>
      </c>
      <c r="G51" s="4"/>
      <c r="H51" s="4"/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/>
      <c r="Q51" s="4"/>
      <c r="R51" s="12">
        <f>IF(P$12=0,0,P51/P$12)</f>
        <v>0</v>
      </c>
      <c r="S51" s="4"/>
      <c r="T51" s="4"/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5" t="s">
        <v>125</v>
      </c>
      <c r="C53" s="25"/>
      <c r="D53" s="33">
        <f>+D49-D51</f>
        <v>-42220.380000000005</v>
      </c>
      <c r="E53" s="13"/>
      <c r="F53" s="35">
        <f>IF(D$12=0,0,D53/D$12)</f>
        <v>0</v>
      </c>
      <c r="G53" s="13"/>
      <c r="H53" s="33">
        <f>+H49-H51</f>
        <v>-43962.689999999988</v>
      </c>
      <c r="I53" s="13"/>
      <c r="J53" s="35">
        <f>IF(H$12=0,0,H53/H$12)</f>
        <v>0</v>
      </c>
      <c r="K53" s="16"/>
      <c r="L53" s="33">
        <f>D53-H53</f>
        <v>1742.3099999999831</v>
      </c>
      <c r="M53" s="16"/>
      <c r="N53" s="35">
        <f>IF(H53=0,0,L53/H53)</f>
        <v>-3.9631560307160085E-2</v>
      </c>
      <c r="O53" s="26"/>
      <c r="P53" s="33">
        <f>+P49-P51</f>
        <v>-133309.49000000002</v>
      </c>
      <c r="Q53" s="13"/>
      <c r="R53" s="35">
        <f>IF(P$12=0,0,P53/P$12)</f>
        <v>0</v>
      </c>
      <c r="S53" s="13"/>
      <c r="T53" s="33">
        <f>+T49-T51</f>
        <v>-150767.32</v>
      </c>
      <c r="U53" s="13"/>
      <c r="V53" s="35">
        <f>IF(T$12=0,0,T53/T$12)</f>
        <v>0</v>
      </c>
      <c r="W53" s="16"/>
      <c r="X53" s="33">
        <f>P53-T53</f>
        <v>17457.829999999987</v>
      </c>
      <c r="Y53" s="16"/>
      <c r="Z53" s="35">
        <f>IF(T53=0,0,X53/T53)</f>
        <v>-0.11579319709337532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5" t="s">
        <v>293</v>
      </c>
      <c r="C56" s="25"/>
      <c r="D56" s="31">
        <f>SUM(D53:D55)</f>
        <v>-42220.380000000005</v>
      </c>
      <c r="E56" s="13"/>
      <c r="F56" s="32">
        <f>IF(D$12=0,0,D56/D$12)</f>
        <v>0</v>
      </c>
      <c r="G56" s="13"/>
      <c r="H56" s="31">
        <f>SUM(H53:H55)</f>
        <v>-43962.689999999988</v>
      </c>
      <c r="I56" s="13"/>
      <c r="J56" s="32">
        <f>IF(H$12=0,0,H56/H$12)</f>
        <v>0</v>
      </c>
      <c r="K56" s="16"/>
      <c r="L56" s="31">
        <f>+D56-H56</f>
        <v>1742.3099999999831</v>
      </c>
      <c r="M56" s="16"/>
      <c r="N56" s="32">
        <f>IF(H56=0,0,L56/H56)</f>
        <v>-3.9631560307160085E-2</v>
      </c>
      <c r="O56" s="26"/>
      <c r="P56" s="31">
        <f>SUM(P53:P55)</f>
        <v>-133309.49000000002</v>
      </c>
      <c r="Q56" s="13"/>
      <c r="R56" s="32">
        <f>IF(P$12=0,0,P56/P$12)</f>
        <v>0</v>
      </c>
      <c r="S56" s="13"/>
      <c r="T56" s="31">
        <f>SUM(T53:T55)</f>
        <v>-150767.32</v>
      </c>
      <c r="U56" s="13"/>
      <c r="V56" s="32">
        <f>IF(T$12=0,0,T56/T$12)</f>
        <v>0</v>
      </c>
      <c r="W56" s="16"/>
      <c r="X56" s="31">
        <f>+P56-T56</f>
        <v>17457.829999999987</v>
      </c>
      <c r="Y56" s="16"/>
      <c r="Z56" s="32">
        <f>IF(T56=0,0,X56/T56)</f>
        <v>-0.11579319709337532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A58" s="9"/>
      <c r="B58" s="58">
        <v>44481.985668518515</v>
      </c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53" t="s">
        <v>56</v>
      </c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2"/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","205", " - ", "Maintenance")</f>
        <v>Department 205 - Maintenance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6279.6600000000008</v>
      </c>
      <c r="E18" s="20"/>
      <c r="F18" s="30">
        <f t="shared" ref="F18:F27" si="0">IF(D$12=0,0,D18/D$12)</f>
        <v>0</v>
      </c>
      <c r="G18" s="20"/>
      <c r="H18" s="20">
        <f>SUM(OSRRefH22x_0)</f>
        <v>7471.87</v>
      </c>
      <c r="I18" s="20"/>
      <c r="J18" s="30">
        <f t="shared" ref="J18:J27" si="1">IF(H$12=0,0,H18/H$12)</f>
        <v>0</v>
      </c>
      <c r="K18" s="4"/>
      <c r="L18" s="20">
        <f t="shared" ref="L18:L27" si="2">+D18-H18</f>
        <v>-1192.2099999999991</v>
      </c>
      <c r="M18" s="4"/>
      <c r="N18" s="30">
        <f t="shared" ref="N18:N27" si="3">IF(H18=0,0,L18/H18)</f>
        <v>-0.15955978891495692</v>
      </c>
      <c r="O18" s="10"/>
      <c r="P18" s="20">
        <f>SUM(OSRRefP22x_0)</f>
        <v>22221.929999999997</v>
      </c>
      <c r="Q18" s="20"/>
      <c r="R18" s="30">
        <f t="shared" ref="R18:R27" si="4">IF(P$12=0,0,P18/P$12)</f>
        <v>0</v>
      </c>
      <c r="S18" s="20"/>
      <c r="T18" s="20">
        <f>SUM(OSRRefT22x_0)</f>
        <v>24127.959999999995</v>
      </c>
      <c r="U18" s="20"/>
      <c r="V18" s="30">
        <f t="shared" ref="V18:V27" si="5">IF(T$12=0,0,T18/T$12)</f>
        <v>0</v>
      </c>
      <c r="W18" s="4"/>
      <c r="X18" s="20">
        <f t="shared" ref="X18:X27" si="6">+P18-T18</f>
        <v>-1906.0299999999988</v>
      </c>
      <c r="Y18" s="4"/>
      <c r="Z18" s="30">
        <f t="shared" ref="Z18:Z27" si="7">IF(T18=0,0,X18/T18)</f>
        <v>-7.8996732421638599E-2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2079.7400000000002</v>
      </c>
      <c r="E19" s="1"/>
      <c r="F19" s="5">
        <f t="shared" si="0"/>
        <v>0</v>
      </c>
      <c r="G19" s="1"/>
      <c r="H19" s="1">
        <f>SUM(OSRRefH22_0x_0)</f>
        <v>2350.64</v>
      </c>
      <c r="I19" s="1"/>
      <c r="J19" s="5">
        <f t="shared" si="1"/>
        <v>0</v>
      </c>
      <c r="K19" s="1"/>
      <c r="L19" s="1">
        <f t="shared" si="2"/>
        <v>-270.89999999999964</v>
      </c>
      <c r="M19" s="1"/>
      <c r="N19" s="5">
        <f t="shared" si="3"/>
        <v>-0.11524520981519912</v>
      </c>
      <c r="O19" s="14"/>
      <c r="P19" s="1">
        <f>SUM(OSRRefP22_0x_0)</f>
        <v>6378.5599999999995</v>
      </c>
      <c r="Q19" s="1"/>
      <c r="R19" s="5">
        <f t="shared" si="4"/>
        <v>0</v>
      </c>
      <c r="S19" s="1"/>
      <c r="T19" s="1">
        <f>SUM(OSRRefT22_0x_0)</f>
        <v>7253.9199999999992</v>
      </c>
      <c r="U19" s="1"/>
      <c r="V19" s="5">
        <f t="shared" si="5"/>
        <v>0</v>
      </c>
      <c r="W19" s="1"/>
      <c r="X19" s="1">
        <f t="shared" si="6"/>
        <v>-875.35999999999967</v>
      </c>
      <c r="Y19" s="1"/>
      <c r="Z19" s="5">
        <f t="shared" si="7"/>
        <v>-0.12067406312724703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322.3</v>
      </c>
      <c r="E20" s="2"/>
      <c r="F20" s="6">
        <f t="shared" si="0"/>
        <v>0</v>
      </c>
      <c r="G20" s="2"/>
      <c r="H20" s="7">
        <v>315.83999999999997</v>
      </c>
      <c r="I20" s="2"/>
      <c r="J20" s="6">
        <f t="shared" si="1"/>
        <v>0</v>
      </c>
      <c r="K20" s="2"/>
      <c r="L20" s="7">
        <f t="shared" si="2"/>
        <v>6.4600000000000364</v>
      </c>
      <c r="M20" s="2"/>
      <c r="N20" s="6">
        <f t="shared" si="3"/>
        <v>2.0453394123607006E-2</v>
      </c>
      <c r="O20" s="11"/>
      <c r="P20" s="7">
        <v>990.63</v>
      </c>
      <c r="Q20" s="2"/>
      <c r="R20" s="6">
        <f t="shared" si="4"/>
        <v>0</v>
      </c>
      <c r="S20" s="2"/>
      <c r="T20" s="7">
        <v>950.24</v>
      </c>
      <c r="U20" s="2"/>
      <c r="V20" s="6">
        <f t="shared" si="5"/>
        <v>0</v>
      </c>
      <c r="W20" s="2"/>
      <c r="X20" s="7">
        <f t="shared" si="6"/>
        <v>40.389999999999986</v>
      </c>
      <c r="Y20" s="2"/>
      <c r="Z20" s="6">
        <f t="shared" si="7"/>
        <v>4.2505051355447028E-2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232.98</v>
      </c>
      <c r="E21" s="2"/>
      <c r="F21" s="6">
        <f t="shared" si="0"/>
        <v>0</v>
      </c>
      <c r="G21" s="2"/>
      <c r="H21" s="7">
        <v>286.13</v>
      </c>
      <c r="I21" s="2"/>
      <c r="J21" s="6">
        <f t="shared" si="1"/>
        <v>0</v>
      </c>
      <c r="K21" s="2"/>
      <c r="L21" s="7">
        <f t="shared" si="2"/>
        <v>-53.150000000000006</v>
      </c>
      <c r="M21" s="2"/>
      <c r="N21" s="6">
        <f t="shared" si="3"/>
        <v>-0.18575472687240069</v>
      </c>
      <c r="O21" s="11"/>
      <c r="P21" s="7">
        <v>709.57</v>
      </c>
      <c r="Q21" s="2"/>
      <c r="R21" s="6">
        <f t="shared" si="4"/>
        <v>0</v>
      </c>
      <c r="S21" s="2"/>
      <c r="T21" s="7">
        <v>860.85</v>
      </c>
      <c r="U21" s="2"/>
      <c r="V21" s="6">
        <f t="shared" si="5"/>
        <v>0</v>
      </c>
      <c r="W21" s="2"/>
      <c r="X21" s="7">
        <f t="shared" si="6"/>
        <v>-151.27999999999997</v>
      </c>
      <c r="Y21" s="2"/>
      <c r="Z21" s="6">
        <f t="shared" si="7"/>
        <v>-0.17573328686763079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707.41</v>
      </c>
      <c r="E22" s="2"/>
      <c r="F22" s="6">
        <f t="shared" si="0"/>
        <v>0</v>
      </c>
      <c r="G22" s="2"/>
      <c r="H22" s="7">
        <v>696.16</v>
      </c>
      <c r="I22" s="2"/>
      <c r="J22" s="6">
        <f t="shared" si="1"/>
        <v>0</v>
      </c>
      <c r="K22" s="2"/>
      <c r="L22" s="7">
        <f t="shared" si="2"/>
        <v>11.25</v>
      </c>
      <c r="M22" s="2"/>
      <c r="N22" s="6">
        <f t="shared" si="3"/>
        <v>1.6160078142955642E-2</v>
      </c>
      <c r="O22" s="11"/>
      <c r="P22" s="7">
        <v>2099.73</v>
      </c>
      <c r="Q22" s="2"/>
      <c r="R22" s="6">
        <f t="shared" si="4"/>
        <v>0</v>
      </c>
      <c r="S22" s="2"/>
      <c r="T22" s="7">
        <v>2088.48</v>
      </c>
      <c r="U22" s="2"/>
      <c r="V22" s="6">
        <f t="shared" si="5"/>
        <v>0</v>
      </c>
      <c r="W22" s="2"/>
      <c r="X22" s="7">
        <f t="shared" si="6"/>
        <v>11.25</v>
      </c>
      <c r="Y22" s="2"/>
      <c r="Z22" s="6">
        <f t="shared" si="7"/>
        <v>5.3866927143185472E-3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10.95</v>
      </c>
      <c r="E23" s="2"/>
      <c r="F23" s="6">
        <f t="shared" si="0"/>
        <v>0</v>
      </c>
      <c r="G23" s="2"/>
      <c r="H23" s="7">
        <v>10.74</v>
      </c>
      <c r="I23" s="2"/>
      <c r="J23" s="6">
        <f t="shared" si="1"/>
        <v>0</v>
      </c>
      <c r="K23" s="2"/>
      <c r="L23" s="7">
        <f t="shared" si="2"/>
        <v>0.20999999999999908</v>
      </c>
      <c r="M23" s="2"/>
      <c r="N23" s="6">
        <f t="shared" si="3"/>
        <v>1.9553072625698237E-2</v>
      </c>
      <c r="O23" s="11"/>
      <c r="P23" s="7">
        <v>33.36</v>
      </c>
      <c r="Q23" s="2"/>
      <c r="R23" s="6">
        <f t="shared" si="4"/>
        <v>0</v>
      </c>
      <c r="S23" s="2"/>
      <c r="T23" s="7">
        <v>32.31</v>
      </c>
      <c r="U23" s="2"/>
      <c r="V23" s="6">
        <f t="shared" si="5"/>
        <v>0</v>
      </c>
      <c r="W23" s="2"/>
      <c r="X23" s="7">
        <f t="shared" si="6"/>
        <v>1.0499999999999972</v>
      </c>
      <c r="Y23" s="2"/>
      <c r="Z23" s="6">
        <f t="shared" si="7"/>
        <v>3.2497678737232964E-2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456.93</v>
      </c>
      <c r="E24" s="2"/>
      <c r="F24" s="6">
        <f t="shared" si="0"/>
        <v>0</v>
      </c>
      <c r="G24" s="2"/>
      <c r="H24" s="7">
        <v>463.27</v>
      </c>
      <c r="I24" s="2"/>
      <c r="J24" s="6">
        <f t="shared" si="1"/>
        <v>0</v>
      </c>
      <c r="K24" s="2"/>
      <c r="L24" s="7">
        <f t="shared" si="2"/>
        <v>-6.339999999999975</v>
      </c>
      <c r="M24" s="2"/>
      <c r="N24" s="6">
        <f t="shared" si="3"/>
        <v>-1.368532389319398E-2</v>
      </c>
      <c r="O24" s="11"/>
      <c r="P24" s="7">
        <v>1370.79</v>
      </c>
      <c r="Q24" s="2"/>
      <c r="R24" s="6">
        <f t="shared" si="4"/>
        <v>0</v>
      </c>
      <c r="S24" s="2"/>
      <c r="T24" s="7">
        <v>1621.45</v>
      </c>
      <c r="U24" s="2"/>
      <c r="V24" s="6">
        <f t="shared" si="5"/>
        <v>0</v>
      </c>
      <c r="W24" s="2"/>
      <c r="X24" s="7">
        <f t="shared" si="6"/>
        <v>-250.66000000000008</v>
      </c>
      <c r="Y24" s="2"/>
      <c r="Z24" s="6">
        <f t="shared" si="7"/>
        <v>-0.15459002744457126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7"/>
      <c r="E25" s="2"/>
      <c r="F25" s="6">
        <f t="shared" si="0"/>
        <v>0</v>
      </c>
      <c r="G25" s="2"/>
      <c r="H25" s="7">
        <v>209.99</v>
      </c>
      <c r="I25" s="2"/>
      <c r="J25" s="6">
        <f t="shared" si="1"/>
        <v>0</v>
      </c>
      <c r="K25" s="2"/>
      <c r="L25" s="7">
        <f t="shared" si="2"/>
        <v>-209.99</v>
      </c>
      <c r="M25" s="2"/>
      <c r="N25" s="6">
        <f t="shared" si="3"/>
        <v>-1</v>
      </c>
      <c r="O25" s="11"/>
      <c r="P25" s="7">
        <v>88.46</v>
      </c>
      <c r="Q25" s="2"/>
      <c r="R25" s="6">
        <f t="shared" si="4"/>
        <v>0</v>
      </c>
      <c r="S25" s="2"/>
      <c r="T25" s="7">
        <v>645.98</v>
      </c>
      <c r="U25" s="2"/>
      <c r="V25" s="6">
        <f t="shared" si="5"/>
        <v>0</v>
      </c>
      <c r="W25" s="2"/>
      <c r="X25" s="7">
        <f t="shared" si="6"/>
        <v>-557.52</v>
      </c>
      <c r="Y25" s="2"/>
      <c r="Z25" s="6">
        <f t="shared" si="7"/>
        <v>-0.86306077587541408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7">
        <v>193.72</v>
      </c>
      <c r="E26" s="2"/>
      <c r="F26" s="6">
        <f t="shared" si="0"/>
        <v>0</v>
      </c>
      <c r="G26" s="2"/>
      <c r="H26" s="7">
        <v>193.72</v>
      </c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581.16</v>
      </c>
      <c r="Q26" s="2"/>
      <c r="R26" s="6">
        <f t="shared" si="4"/>
        <v>0</v>
      </c>
      <c r="S26" s="2"/>
      <c r="T26" s="7">
        <v>581.16</v>
      </c>
      <c r="U26" s="2"/>
      <c r="V26" s="6">
        <f t="shared" si="5"/>
        <v>0</v>
      </c>
      <c r="W26" s="2"/>
      <c r="X26" s="7">
        <f t="shared" si="6"/>
        <v>0</v>
      </c>
      <c r="Y26" s="2"/>
      <c r="Z26" s="6">
        <f t="shared" si="7"/>
        <v>0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7">
        <v>155.44999999999999</v>
      </c>
      <c r="E27" s="2"/>
      <c r="F27" s="6">
        <f t="shared" si="0"/>
        <v>0</v>
      </c>
      <c r="G27" s="2"/>
      <c r="H27" s="7">
        <v>174.79</v>
      </c>
      <c r="I27" s="2"/>
      <c r="J27" s="6">
        <f t="shared" si="1"/>
        <v>0</v>
      </c>
      <c r="K27" s="2"/>
      <c r="L27" s="7">
        <f t="shared" si="2"/>
        <v>-19.340000000000003</v>
      </c>
      <c r="M27" s="2"/>
      <c r="N27" s="6">
        <f t="shared" si="3"/>
        <v>-0.11064706218891243</v>
      </c>
      <c r="O27" s="11"/>
      <c r="P27" s="7">
        <v>504.86</v>
      </c>
      <c r="Q27" s="2"/>
      <c r="R27" s="6">
        <f t="shared" si="4"/>
        <v>0</v>
      </c>
      <c r="S27" s="2"/>
      <c r="T27" s="7">
        <v>473.45</v>
      </c>
      <c r="U27" s="2"/>
      <c r="V27" s="6">
        <f t="shared" si="5"/>
        <v>0</v>
      </c>
      <c r="W27" s="2"/>
      <c r="X27" s="7">
        <f t="shared" si="6"/>
        <v>31.410000000000025</v>
      </c>
      <c r="Y27" s="2"/>
      <c r="Z27" s="6">
        <f t="shared" si="7"/>
        <v>6.6342802830288358E-2</v>
      </c>
    </row>
    <row r="28" spans="1:26" s="27" customFormat="1" outlineLevel="1" collapsed="1" x14ac:dyDescent="0.25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3149.8</v>
      </c>
      <c r="E28" s="1"/>
      <c r="F28" s="5">
        <f t="shared" ref="F28:F34" si="8">IF(D$12=0,0,D28/D$12)</f>
        <v>0</v>
      </c>
      <c r="G28" s="1"/>
      <c r="H28" s="1">
        <f>SUM(OSRRefH22_1x_0)</f>
        <v>3989.75</v>
      </c>
      <c r="I28" s="1"/>
      <c r="J28" s="5">
        <f t="shared" ref="J28:J34" si="9">IF(H$12=0,0,H28/H$12)</f>
        <v>0</v>
      </c>
      <c r="K28" s="1"/>
      <c r="L28" s="1">
        <f t="shared" ref="L28:L34" si="10">+D28-H28</f>
        <v>-839.94999999999982</v>
      </c>
      <c r="M28" s="1"/>
      <c r="N28" s="5">
        <f t="shared" ref="N28:N34" si="11">IF(H28=0,0,L28/H28)</f>
        <v>-0.21052697537439685</v>
      </c>
      <c r="O28" s="14"/>
      <c r="P28" s="1">
        <f>SUM(OSRRefP22_1x_0)</f>
        <v>12743.67</v>
      </c>
      <c r="Q28" s="1"/>
      <c r="R28" s="5">
        <f t="shared" ref="R28:R34" si="12">IF(P$12=0,0,P28/P$12)</f>
        <v>0</v>
      </c>
      <c r="S28" s="1"/>
      <c r="T28" s="1">
        <f>SUM(OSRRefT22_1x_0)</f>
        <v>13019.25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-275.57999999999993</v>
      </c>
      <c r="Y28" s="1"/>
      <c r="Z28" s="5">
        <f t="shared" ref="Z28:Z34" si="15">IF(T28=0,0,X28/T28)</f>
        <v>-2.1167117921539254E-2</v>
      </c>
    </row>
    <row r="29" spans="1:26" s="24" customFormat="1" hidden="1" outlineLevel="2" x14ac:dyDescent="0.25">
      <c r="A29" s="28"/>
      <c r="B29" s="11" t="str">
        <f>CONCATENATE("          ", "6002", " - ", "STAFF SALARIES")</f>
        <v xml:space="preserve">          6002 - STAFF SALARIES</v>
      </c>
      <c r="C29" s="11"/>
      <c r="D29" s="7">
        <v>3149.8</v>
      </c>
      <c r="E29" s="2"/>
      <c r="F29" s="6">
        <f t="shared" si="8"/>
        <v>0</v>
      </c>
      <c r="G29" s="2"/>
      <c r="H29" s="7">
        <v>3989.75</v>
      </c>
      <c r="I29" s="2"/>
      <c r="J29" s="6">
        <f t="shared" si="9"/>
        <v>0</v>
      </c>
      <c r="K29" s="2"/>
      <c r="L29" s="7">
        <f t="shared" si="10"/>
        <v>-839.94999999999982</v>
      </c>
      <c r="M29" s="2"/>
      <c r="N29" s="6">
        <f t="shared" si="11"/>
        <v>-0.21052697537439685</v>
      </c>
      <c r="O29" s="11"/>
      <c r="P29" s="7">
        <v>12743.67</v>
      </c>
      <c r="Q29" s="2"/>
      <c r="R29" s="6">
        <f t="shared" si="12"/>
        <v>0</v>
      </c>
      <c r="S29" s="2"/>
      <c r="T29" s="7">
        <v>13019.25</v>
      </c>
      <c r="U29" s="2"/>
      <c r="V29" s="6">
        <f t="shared" si="13"/>
        <v>0</v>
      </c>
      <c r="W29" s="2"/>
      <c r="X29" s="7">
        <f t="shared" si="14"/>
        <v>-275.57999999999993</v>
      </c>
      <c r="Y29" s="2"/>
      <c r="Z29" s="6">
        <f t="shared" si="15"/>
        <v>-2.1167117921539254E-2</v>
      </c>
    </row>
    <row r="30" spans="1:26" s="27" customFormat="1" outlineLevel="1" collapsed="1" x14ac:dyDescent="0.25">
      <c r="A30" s="29"/>
      <c r="B30" s="14" t="str">
        <f>CONCATENATE("     ","Insurance                                         ")</f>
        <v xml:space="preserve">     Insurance                                         </v>
      </c>
      <c r="C30" s="14"/>
      <c r="D30" s="1">
        <f>SUM(OSRRefD22_2x_0)</f>
        <v>33.380000000000003</v>
      </c>
      <c r="E30" s="1"/>
      <c r="F30" s="5">
        <f t="shared" si="8"/>
        <v>0</v>
      </c>
      <c r="G30" s="1"/>
      <c r="H30" s="1">
        <f>SUM(OSRRefH22_2x_0)</f>
        <v>24.56</v>
      </c>
      <c r="I30" s="1"/>
      <c r="J30" s="5">
        <f t="shared" si="9"/>
        <v>0</v>
      </c>
      <c r="K30" s="1"/>
      <c r="L30" s="1">
        <f t="shared" si="10"/>
        <v>8.8200000000000038</v>
      </c>
      <c r="M30" s="1"/>
      <c r="N30" s="5">
        <f t="shared" si="11"/>
        <v>0.3591205211726386</v>
      </c>
      <c r="O30" s="14"/>
      <c r="P30" s="1">
        <f>SUM(OSRRefP22_2x_0)</f>
        <v>100.14</v>
      </c>
      <c r="Q30" s="1"/>
      <c r="R30" s="5">
        <f t="shared" si="12"/>
        <v>0</v>
      </c>
      <c r="S30" s="1"/>
      <c r="T30" s="1">
        <f>SUM(OSRRefT22_2x_0)</f>
        <v>73.680000000000007</v>
      </c>
      <c r="U30" s="1"/>
      <c r="V30" s="5">
        <f t="shared" si="13"/>
        <v>0</v>
      </c>
      <c r="W30" s="1"/>
      <c r="X30" s="1">
        <f t="shared" si="14"/>
        <v>26.459999999999994</v>
      </c>
      <c r="Y30" s="1"/>
      <c r="Z30" s="5">
        <f t="shared" si="15"/>
        <v>0.35912052117263832</v>
      </c>
    </row>
    <row r="31" spans="1:26" s="24" customFormat="1" hidden="1" outlineLevel="2" x14ac:dyDescent="0.25">
      <c r="A31" s="28"/>
      <c r="B31" s="11" t="str">
        <f>CONCATENATE("          ", "6314", " - ", "LIABILITY INSURANCE")</f>
        <v xml:space="preserve">          6314 - LIABILITY INSURANCE</v>
      </c>
      <c r="C31" s="11"/>
      <c r="D31" s="7">
        <v>33.380000000000003</v>
      </c>
      <c r="E31" s="2"/>
      <c r="F31" s="6">
        <f t="shared" si="8"/>
        <v>0</v>
      </c>
      <c r="G31" s="2"/>
      <c r="H31" s="7">
        <v>24.56</v>
      </c>
      <c r="I31" s="2"/>
      <c r="J31" s="6">
        <f t="shared" si="9"/>
        <v>0</v>
      </c>
      <c r="K31" s="2"/>
      <c r="L31" s="7">
        <f t="shared" si="10"/>
        <v>8.8200000000000038</v>
      </c>
      <c r="M31" s="2"/>
      <c r="N31" s="6">
        <f t="shared" si="11"/>
        <v>0.3591205211726386</v>
      </c>
      <c r="O31" s="11"/>
      <c r="P31" s="7">
        <v>100.14</v>
      </c>
      <c r="Q31" s="2"/>
      <c r="R31" s="6">
        <f t="shared" si="12"/>
        <v>0</v>
      </c>
      <c r="S31" s="2"/>
      <c r="T31" s="7">
        <v>73.680000000000007</v>
      </c>
      <c r="U31" s="2"/>
      <c r="V31" s="6">
        <f t="shared" si="13"/>
        <v>0</v>
      </c>
      <c r="W31" s="2"/>
      <c r="X31" s="7">
        <f t="shared" si="14"/>
        <v>26.459999999999994</v>
      </c>
      <c r="Y31" s="2"/>
      <c r="Z31" s="6">
        <f t="shared" si="15"/>
        <v>0.35912052117263832</v>
      </c>
    </row>
    <row r="32" spans="1:26" s="27" customFormat="1" outlineLevel="1" collapsed="1" x14ac:dyDescent="0.25">
      <c r="A32" s="29"/>
      <c r="B32" s="14" t="str">
        <f>CONCATENATE("     ","Repair and Maintenance                            ")</f>
        <v xml:space="preserve">     Repair and Maintenance                            </v>
      </c>
      <c r="C32" s="14"/>
      <c r="D32" s="1">
        <f>SUM(OSRRefD22_3x_0)</f>
        <v>918.74</v>
      </c>
      <c r="E32" s="1"/>
      <c r="F32" s="5">
        <f t="shared" si="8"/>
        <v>0</v>
      </c>
      <c r="G32" s="1"/>
      <c r="H32" s="1">
        <f>SUM(OSRRefH22_3x_0)</f>
        <v>866</v>
      </c>
      <c r="I32" s="1"/>
      <c r="J32" s="5">
        <f t="shared" si="9"/>
        <v>0</v>
      </c>
      <c r="K32" s="1"/>
      <c r="L32" s="1">
        <f t="shared" si="10"/>
        <v>52.740000000000009</v>
      </c>
      <c r="M32" s="1"/>
      <c r="N32" s="5">
        <f t="shared" si="11"/>
        <v>6.0900692840646663E-2</v>
      </c>
      <c r="O32" s="14"/>
      <c r="P32" s="1">
        <f>SUM(OSRRefP22_3x_0)</f>
        <v>2729.46</v>
      </c>
      <c r="Q32" s="1"/>
      <c r="R32" s="5">
        <f t="shared" si="12"/>
        <v>0</v>
      </c>
      <c r="S32" s="1"/>
      <c r="T32" s="1">
        <f>SUM(OSRRefT22_3x_0)</f>
        <v>3417.19</v>
      </c>
      <c r="U32" s="1"/>
      <c r="V32" s="5">
        <f t="shared" si="13"/>
        <v>0</v>
      </c>
      <c r="W32" s="1"/>
      <c r="X32" s="1">
        <f t="shared" si="14"/>
        <v>-687.73</v>
      </c>
      <c r="Y32" s="1"/>
      <c r="Z32" s="5">
        <f t="shared" si="15"/>
        <v>-0.20125600273909264</v>
      </c>
    </row>
    <row r="33" spans="1:26" s="24" customFormat="1" hidden="1" outlineLevel="2" x14ac:dyDescent="0.25">
      <c r="A33" s="28"/>
      <c r="B33" s="11" t="str">
        <f>CONCATENATE("          ", "6373", " - ", "MAINTENANCE CONTRACTS")</f>
        <v xml:space="preserve">          6373 - MAINTENANCE CONTRACTS</v>
      </c>
      <c r="C33" s="11"/>
      <c r="D33" s="7">
        <v>918.74</v>
      </c>
      <c r="E33" s="2"/>
      <c r="F33" s="6">
        <f t="shared" si="8"/>
        <v>0</v>
      </c>
      <c r="G33" s="2"/>
      <c r="H33" s="7">
        <v>866</v>
      </c>
      <c r="I33" s="2"/>
      <c r="J33" s="6">
        <f t="shared" si="9"/>
        <v>0</v>
      </c>
      <c r="K33" s="2"/>
      <c r="L33" s="7">
        <f t="shared" si="10"/>
        <v>52.740000000000009</v>
      </c>
      <c r="M33" s="2"/>
      <c r="N33" s="6">
        <f t="shared" si="11"/>
        <v>6.0900692840646663E-2</v>
      </c>
      <c r="O33" s="11"/>
      <c r="P33" s="7">
        <v>2729.46</v>
      </c>
      <c r="Q33" s="2"/>
      <c r="R33" s="6">
        <f t="shared" si="12"/>
        <v>0</v>
      </c>
      <c r="S33" s="2"/>
      <c r="T33" s="7">
        <v>2598</v>
      </c>
      <c r="U33" s="2"/>
      <c r="V33" s="6">
        <f t="shared" si="13"/>
        <v>0</v>
      </c>
      <c r="W33" s="2"/>
      <c r="X33" s="7">
        <f t="shared" si="14"/>
        <v>131.46000000000004</v>
      </c>
      <c r="Y33" s="2"/>
      <c r="Z33" s="6">
        <f t="shared" si="15"/>
        <v>5.0600461893764451E-2</v>
      </c>
    </row>
    <row r="34" spans="1:26" s="24" customFormat="1" hidden="1" outlineLevel="2" x14ac:dyDescent="0.25">
      <c r="A34" s="28"/>
      <c r="B34" s="11" t="str">
        <f>CONCATENATE("          ", "6375", " - ", "OUTSIDE REPAIRS &amp; MAINTENANCE")</f>
        <v xml:space="preserve">          6375 - OUTSIDE REPAIRS &amp; MAINTENANCE</v>
      </c>
      <c r="C34" s="11"/>
      <c r="D34" s="7"/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0</v>
      </c>
      <c r="Q34" s="2"/>
      <c r="R34" s="6">
        <f t="shared" si="12"/>
        <v>0</v>
      </c>
      <c r="S34" s="2"/>
      <c r="T34" s="7">
        <v>819.19</v>
      </c>
      <c r="U34" s="2"/>
      <c r="V34" s="6">
        <f t="shared" si="13"/>
        <v>0</v>
      </c>
      <c r="W34" s="2"/>
      <c r="X34" s="7">
        <f t="shared" si="14"/>
        <v>-819.19</v>
      </c>
      <c r="Y34" s="2"/>
      <c r="Z34" s="6">
        <f t="shared" si="15"/>
        <v>-1</v>
      </c>
    </row>
    <row r="35" spans="1:26" s="27" customFormat="1" outlineLevel="1" collapsed="1" x14ac:dyDescent="0.25">
      <c r="A35" s="29"/>
      <c r="B35" s="14" t="str">
        <f>CONCATENATE("     ","Supplies                                          ")</f>
        <v xml:space="preserve">     Supplies                                          </v>
      </c>
      <c r="C35" s="14"/>
      <c r="D35" s="1">
        <f>SUM(OSRRefD22_4x_0)</f>
        <v>0</v>
      </c>
      <c r="E35" s="1"/>
      <c r="F35" s="5">
        <f t="shared" ref="F35:F37" si="16">IF(D$12=0,0,D35/D$12)</f>
        <v>0</v>
      </c>
      <c r="G35" s="1"/>
      <c r="H35" s="1">
        <f>SUM(OSRRefH22_4x_0)</f>
        <v>15.92</v>
      </c>
      <c r="I35" s="1"/>
      <c r="J35" s="5">
        <f t="shared" ref="J35:J37" si="17">IF(H$12=0,0,H35/H$12)</f>
        <v>0</v>
      </c>
      <c r="K35" s="1"/>
      <c r="L35" s="1">
        <f t="shared" ref="L35:L37" si="18">+D35-H35</f>
        <v>-15.92</v>
      </c>
      <c r="M35" s="1"/>
      <c r="N35" s="5">
        <f t="shared" ref="N35:N37" si="19">IF(H35=0,0,L35/H35)</f>
        <v>-1</v>
      </c>
      <c r="O35" s="14"/>
      <c r="P35" s="1">
        <f>SUM(OSRRefP22_4x_0)</f>
        <v>26.1</v>
      </c>
      <c r="Q35" s="1"/>
      <c r="R35" s="5">
        <f t="shared" ref="R35:R37" si="20">IF(P$12=0,0,P35/P$12)</f>
        <v>0</v>
      </c>
      <c r="S35" s="1"/>
      <c r="T35" s="1">
        <f>SUM(OSRRefT22_4x_0)</f>
        <v>15.92</v>
      </c>
      <c r="U35" s="1"/>
      <c r="V35" s="5">
        <f t="shared" ref="V35:V37" si="21">IF(T$12=0,0,T35/T$12)</f>
        <v>0</v>
      </c>
      <c r="W35" s="1"/>
      <c r="X35" s="1">
        <f t="shared" ref="X35:X37" si="22">+P35-T35</f>
        <v>10.180000000000001</v>
      </c>
      <c r="Y35" s="1"/>
      <c r="Z35" s="5">
        <f t="shared" ref="Z35:Z37" si="23">IF(T35=0,0,X35/T35)</f>
        <v>0.6394472361809046</v>
      </c>
    </row>
    <row r="36" spans="1:26" s="24" customFormat="1" hidden="1" outlineLevel="2" x14ac:dyDescent="0.25">
      <c r="A36" s="28"/>
      <c r="B36" s="11" t="str">
        <f>CONCATENATE("          ", "6234", " - ", "EXPENDABLE SUPPLIES &amp; EQUIPMEN")</f>
        <v xml:space="preserve">          6234 - EXPENDABLE SUPPLIES &amp; EQUIPMEN</v>
      </c>
      <c r="C36" s="11"/>
      <c r="D36" s="7"/>
      <c r="E36" s="2"/>
      <c r="F36" s="6">
        <f t="shared" si="16"/>
        <v>0</v>
      </c>
      <c r="G36" s="2"/>
      <c r="H36" s="7"/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>
        <v>26.1</v>
      </c>
      <c r="Q36" s="2"/>
      <c r="R36" s="6">
        <f t="shared" si="20"/>
        <v>0</v>
      </c>
      <c r="S36" s="2"/>
      <c r="T36" s="7"/>
      <c r="U36" s="2"/>
      <c r="V36" s="6">
        <f t="shared" si="21"/>
        <v>0</v>
      </c>
      <c r="W36" s="2"/>
      <c r="X36" s="7">
        <f t="shared" si="22"/>
        <v>26.1</v>
      </c>
      <c r="Y36" s="2"/>
      <c r="Z36" s="6">
        <f t="shared" si="23"/>
        <v>0</v>
      </c>
    </row>
    <row r="37" spans="1:26" s="24" customFormat="1" hidden="1" outlineLevel="2" x14ac:dyDescent="0.25">
      <c r="A37" s="28"/>
      <c r="B37" s="11" t="str">
        <f>CONCATENATE("          ", "6241", " - ", "OFFICE EXPENSE")</f>
        <v xml:space="preserve">          6241 - OFFICE EXPENSE</v>
      </c>
      <c r="C37" s="11"/>
      <c r="D37" s="7"/>
      <c r="E37" s="2"/>
      <c r="F37" s="6">
        <f t="shared" si="16"/>
        <v>0</v>
      </c>
      <c r="G37" s="2"/>
      <c r="H37" s="7">
        <v>15.92</v>
      </c>
      <c r="I37" s="2"/>
      <c r="J37" s="6">
        <f t="shared" si="17"/>
        <v>0</v>
      </c>
      <c r="K37" s="2"/>
      <c r="L37" s="7">
        <f t="shared" si="18"/>
        <v>-15.92</v>
      </c>
      <c r="M37" s="2"/>
      <c r="N37" s="6">
        <f t="shared" si="19"/>
        <v>-1</v>
      </c>
      <c r="O37" s="11"/>
      <c r="P37" s="7"/>
      <c r="Q37" s="2"/>
      <c r="R37" s="6">
        <f t="shared" si="20"/>
        <v>0</v>
      </c>
      <c r="S37" s="2"/>
      <c r="T37" s="7">
        <v>15.92</v>
      </c>
      <c r="U37" s="2"/>
      <c r="V37" s="6">
        <f t="shared" si="21"/>
        <v>0</v>
      </c>
      <c r="W37" s="2"/>
      <c r="X37" s="7">
        <f t="shared" si="22"/>
        <v>-15.92</v>
      </c>
      <c r="Y37" s="2"/>
      <c r="Z37" s="6">
        <f t="shared" si="23"/>
        <v>-1</v>
      </c>
    </row>
    <row r="38" spans="1:26" s="27" customFormat="1" outlineLevel="1" collapsed="1" x14ac:dyDescent="0.25">
      <c r="A38" s="29"/>
      <c r="B38" s="14" t="str">
        <f>CONCATENATE("     ","Telephone/Data Lines                              ")</f>
        <v xml:space="preserve">     Telephone/Data Lines                              </v>
      </c>
      <c r="C38" s="14"/>
      <c r="D38" s="1">
        <f>SUM(OSRRefD22_5x_0)</f>
        <v>98</v>
      </c>
      <c r="E38" s="1"/>
      <c r="F38" s="5">
        <f t="shared" ref="F38:F39" si="24">IF(D$12=0,0,D38/D$12)</f>
        <v>0</v>
      </c>
      <c r="G38" s="1"/>
      <c r="H38" s="1">
        <f>SUM(OSRRefH22_5x_0)</f>
        <v>225</v>
      </c>
      <c r="I38" s="1"/>
      <c r="J38" s="5">
        <f t="shared" ref="J38:J39" si="25">IF(H$12=0,0,H38/H$12)</f>
        <v>0</v>
      </c>
      <c r="K38" s="1"/>
      <c r="L38" s="1">
        <f t="shared" ref="L38:L39" si="26">+D38-H38</f>
        <v>-127</v>
      </c>
      <c r="M38" s="1"/>
      <c r="N38" s="5">
        <f t="shared" ref="N38:N39" si="27">IF(H38=0,0,L38/H38)</f>
        <v>-0.56444444444444442</v>
      </c>
      <c r="O38" s="14"/>
      <c r="P38" s="1">
        <f>SUM(OSRRefP22_5x_0)</f>
        <v>244</v>
      </c>
      <c r="Q38" s="1"/>
      <c r="R38" s="5">
        <f t="shared" ref="R38:R39" si="28">IF(P$12=0,0,P38/P$12)</f>
        <v>0</v>
      </c>
      <c r="S38" s="1"/>
      <c r="T38" s="1">
        <f>SUM(OSRRefT22_5x_0)</f>
        <v>348</v>
      </c>
      <c r="U38" s="1"/>
      <c r="V38" s="5">
        <f t="shared" ref="V38:V39" si="29">IF(T$12=0,0,T38/T$12)</f>
        <v>0</v>
      </c>
      <c r="W38" s="1"/>
      <c r="X38" s="1">
        <f t="shared" ref="X38:X39" si="30">+P38-T38</f>
        <v>-104</v>
      </c>
      <c r="Y38" s="1"/>
      <c r="Z38" s="5">
        <f t="shared" ref="Z38:Z39" si="31">IF(T38=0,0,X38/T38)</f>
        <v>-0.2988505747126437</v>
      </c>
    </row>
    <row r="39" spans="1:26" s="24" customFormat="1" hidden="1" outlineLevel="2" x14ac:dyDescent="0.25">
      <c r="A39" s="28"/>
      <c r="B39" s="11" t="str">
        <f>CONCATENATE("          ", "6309", " - ", "TELEPHONE")</f>
        <v xml:space="preserve">          6309 - TELEPHONE</v>
      </c>
      <c r="C39" s="11"/>
      <c r="D39" s="7">
        <v>98</v>
      </c>
      <c r="E39" s="2"/>
      <c r="F39" s="6">
        <f t="shared" si="24"/>
        <v>0</v>
      </c>
      <c r="G39" s="2"/>
      <c r="H39" s="7">
        <v>225</v>
      </c>
      <c r="I39" s="2"/>
      <c r="J39" s="6">
        <f t="shared" si="25"/>
        <v>0</v>
      </c>
      <c r="K39" s="2"/>
      <c r="L39" s="7">
        <f t="shared" si="26"/>
        <v>-127</v>
      </c>
      <c r="M39" s="2"/>
      <c r="N39" s="6">
        <f t="shared" si="27"/>
        <v>-0.56444444444444442</v>
      </c>
      <c r="O39" s="11"/>
      <c r="P39" s="7">
        <v>244</v>
      </c>
      <c r="Q39" s="2"/>
      <c r="R39" s="6">
        <f t="shared" si="28"/>
        <v>0</v>
      </c>
      <c r="S39" s="2"/>
      <c r="T39" s="7">
        <v>348</v>
      </c>
      <c r="U39" s="2"/>
      <c r="V39" s="6">
        <f t="shared" si="29"/>
        <v>0</v>
      </c>
      <c r="W39" s="2"/>
      <c r="X39" s="7">
        <f t="shared" si="30"/>
        <v>-104</v>
      </c>
      <c r="Y39" s="2"/>
      <c r="Z39" s="6">
        <f t="shared" si="31"/>
        <v>-0.2988505747126437</v>
      </c>
    </row>
    <row r="40" spans="1:26" s="54" customFormat="1" x14ac:dyDescent="0.25">
      <c r="A40" s="37"/>
      <c r="B40" s="37"/>
      <c r="C40" s="37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7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25">
      <c r="A41" s="10"/>
      <c r="B41" s="26" t="s">
        <v>292</v>
      </c>
      <c r="C41" s="10"/>
      <c r="D41" s="4">
        <f>SUM(0)</f>
        <v>0</v>
      </c>
      <c r="E41" s="4"/>
      <c r="F41" s="12">
        <f>IF(D$12=0,0,D41/D$12)</f>
        <v>0</v>
      </c>
      <c r="G41" s="4"/>
      <c r="H41" s="4">
        <f>SUM(0)</f>
        <v>0</v>
      </c>
      <c r="I41" s="4"/>
      <c r="J41" s="12">
        <f>IF(H$12=0,0,H41/H$12)</f>
        <v>0</v>
      </c>
      <c r="K41" s="4"/>
      <c r="L41" s="4">
        <f>+D41-H41</f>
        <v>0</v>
      </c>
      <c r="M41" s="4"/>
      <c r="N41" s="12">
        <f>IF(H41=0,0,L41/H41)</f>
        <v>0</v>
      </c>
      <c r="O41" s="10"/>
      <c r="P41" s="4">
        <f>SUM(0)</f>
        <v>0</v>
      </c>
      <c r="Q41" s="4"/>
      <c r="R41" s="12">
        <f>IF(P$12=0,0,P41/P$12)</f>
        <v>0</v>
      </c>
      <c r="S41" s="4"/>
      <c r="T41" s="4">
        <f>SUM(0)</f>
        <v>0</v>
      </c>
      <c r="U41" s="4"/>
      <c r="V41" s="12">
        <f>IF(T$12=0,0,T41/T$12)</f>
        <v>0</v>
      </c>
      <c r="W41" s="4"/>
      <c r="X41" s="4">
        <f>+P41-T41</f>
        <v>0</v>
      </c>
      <c r="Y41" s="4"/>
      <c r="Z41" s="12">
        <f>IF(T41=0,0,X41/T41)</f>
        <v>0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5" t="s">
        <v>276</v>
      </c>
      <c r="C43" s="25"/>
      <c r="D43" s="21">
        <f>+D16-D18+D41</f>
        <v>-6279.6600000000008</v>
      </c>
      <c r="E43" s="13"/>
      <c r="F43" s="22">
        <f>IF(D$12=0,0,D43/D$12)</f>
        <v>0</v>
      </c>
      <c r="G43" s="13"/>
      <c r="H43" s="21">
        <f>+H16-H18+H41</f>
        <v>-7471.87</v>
      </c>
      <c r="I43" s="13"/>
      <c r="J43" s="22">
        <f>IF(H$12=0,0,H43/H$12)</f>
        <v>0</v>
      </c>
      <c r="K43" s="16"/>
      <c r="L43" s="21">
        <f>+D43-H43</f>
        <v>1192.2099999999991</v>
      </c>
      <c r="M43" s="16"/>
      <c r="N43" s="22">
        <f>IF(H43=0,0,L43/H43)</f>
        <v>-0.15955978891495692</v>
      </c>
      <c r="O43" s="26"/>
      <c r="P43" s="21">
        <f>+P16-P18+P41</f>
        <v>-22221.929999999997</v>
      </c>
      <c r="Q43" s="13"/>
      <c r="R43" s="22">
        <f>IF(P$12=0,0,P43/P$12)</f>
        <v>0</v>
      </c>
      <c r="S43" s="13"/>
      <c r="T43" s="21">
        <f>+T16-T18+T41</f>
        <v>-24127.959999999995</v>
      </c>
      <c r="U43" s="13"/>
      <c r="V43" s="22">
        <f>IF(T$12=0,0,T43/T$12)</f>
        <v>0</v>
      </c>
      <c r="W43" s="16"/>
      <c r="X43" s="21">
        <f>+P43-T43</f>
        <v>1906.0299999999988</v>
      </c>
      <c r="Y43" s="16"/>
      <c r="Z43" s="22">
        <f>IF(T43=0,0,X43/T43)</f>
        <v>-7.8996732421638599E-2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127</v>
      </c>
      <c r="C45" s="10"/>
      <c r="D45" s="4"/>
      <c r="E45" s="4"/>
      <c r="F45" s="12">
        <f>IF(D$12=0,0,D45/D$12)</f>
        <v>0</v>
      </c>
      <c r="G45" s="4"/>
      <c r="H45" s="4"/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/>
      <c r="Q45" s="4"/>
      <c r="R45" s="12">
        <f>IF(P$12=0,0,P45/P$12)</f>
        <v>0</v>
      </c>
      <c r="S45" s="4"/>
      <c r="T45" s="4"/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5" t="s">
        <v>125</v>
      </c>
      <c r="C47" s="25"/>
      <c r="D47" s="33">
        <f>+D43-D45</f>
        <v>-6279.6600000000008</v>
      </c>
      <c r="E47" s="13"/>
      <c r="F47" s="35">
        <f>IF(D$12=0,0,D47/D$12)</f>
        <v>0</v>
      </c>
      <c r="G47" s="13"/>
      <c r="H47" s="33">
        <f>+H43-H45</f>
        <v>-7471.87</v>
      </c>
      <c r="I47" s="13"/>
      <c r="J47" s="35">
        <f>IF(H$12=0,0,H47/H$12)</f>
        <v>0</v>
      </c>
      <c r="K47" s="16"/>
      <c r="L47" s="33">
        <f>D47-H47</f>
        <v>1192.2099999999991</v>
      </c>
      <c r="M47" s="16"/>
      <c r="N47" s="35">
        <f>IF(H47=0,0,L47/H47)</f>
        <v>-0.15955978891495692</v>
      </c>
      <c r="O47" s="26"/>
      <c r="P47" s="33">
        <f>+P43-P45</f>
        <v>-22221.929999999997</v>
      </c>
      <c r="Q47" s="13"/>
      <c r="R47" s="35">
        <f>IF(P$12=0,0,P47/P$12)</f>
        <v>0</v>
      </c>
      <c r="S47" s="13"/>
      <c r="T47" s="33">
        <f>+T43-T45</f>
        <v>-24127.959999999995</v>
      </c>
      <c r="U47" s="13"/>
      <c r="V47" s="35">
        <f>IF(T$12=0,0,T47/T$12)</f>
        <v>0</v>
      </c>
      <c r="W47" s="16"/>
      <c r="X47" s="33">
        <f>P47-T47</f>
        <v>1906.0299999999988</v>
      </c>
      <c r="Y47" s="16"/>
      <c r="Z47" s="35">
        <f>IF(T47=0,0,X47/T47)</f>
        <v>-7.8996732421638599E-2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5" t="s">
        <v>293</v>
      </c>
      <c r="C50" s="25"/>
      <c r="D50" s="31">
        <f>SUM(D47:D49)</f>
        <v>-6279.6600000000008</v>
      </c>
      <c r="E50" s="13"/>
      <c r="F50" s="32">
        <f>IF(D$12=0,0,D50/D$12)</f>
        <v>0</v>
      </c>
      <c r="G50" s="13"/>
      <c r="H50" s="31">
        <f>SUM(H47:H49)</f>
        <v>-7471.87</v>
      </c>
      <c r="I50" s="13"/>
      <c r="J50" s="32">
        <f>IF(H$12=0,0,H50/H$12)</f>
        <v>0</v>
      </c>
      <c r="K50" s="16"/>
      <c r="L50" s="31">
        <f>+D50-H50</f>
        <v>1192.2099999999991</v>
      </c>
      <c r="M50" s="16"/>
      <c r="N50" s="32">
        <f>IF(H50=0,0,L50/H50)</f>
        <v>-0.15955978891495692</v>
      </c>
      <c r="O50" s="26"/>
      <c r="P50" s="31">
        <f>SUM(P47:P49)</f>
        <v>-22221.929999999997</v>
      </c>
      <c r="Q50" s="13"/>
      <c r="R50" s="32">
        <f>IF(P$12=0,0,P50/P$12)</f>
        <v>0</v>
      </c>
      <c r="S50" s="13"/>
      <c r="T50" s="31">
        <f>SUM(T47:T49)</f>
        <v>-24127.959999999995</v>
      </c>
      <c r="U50" s="13"/>
      <c r="V50" s="32">
        <f>IF(T$12=0,0,T50/T$12)</f>
        <v>0</v>
      </c>
      <c r="W50" s="16"/>
      <c r="X50" s="31">
        <f>+P50-T50</f>
        <v>1906.0299999999988</v>
      </c>
      <c r="Y50" s="16"/>
      <c r="Z50" s="32">
        <f>IF(T50=0,0,X50/T50)</f>
        <v>-7.8996732421638599E-2</v>
      </c>
    </row>
    <row r="51" spans="1:26" ht="15.75" thickTop="1" x14ac:dyDescent="0.25">
      <c r="A51" s="9"/>
      <c r="C51" s="9"/>
      <c r="D51" s="18"/>
      <c r="E51" s="18"/>
      <c r="G51" s="18"/>
      <c r="H51" s="18"/>
      <c r="I51" s="18"/>
      <c r="J51" s="42"/>
      <c r="K51" s="18"/>
      <c r="L51" s="18"/>
      <c r="M51" s="18"/>
      <c r="P51" s="18"/>
      <c r="Q51" s="18"/>
      <c r="R51" s="42"/>
      <c r="S51" s="18"/>
      <c r="T51" s="18"/>
      <c r="U51" s="18"/>
      <c r="V51" s="42"/>
      <c r="W51" s="18"/>
      <c r="X51" s="18"/>
    </row>
    <row r="52" spans="1:26" x14ac:dyDescent="0.25">
      <c r="A52" s="9"/>
      <c r="B52" s="58">
        <v>44481.985668518515</v>
      </c>
      <c r="D52" s="18"/>
      <c r="E52" s="18"/>
      <c r="G52" s="18"/>
      <c r="H52" s="18"/>
      <c r="I52" s="18"/>
      <c r="J52" s="42"/>
      <c r="K52" s="18"/>
      <c r="L52" s="18"/>
      <c r="M52" s="18"/>
      <c r="P52" s="18"/>
      <c r="Q52" s="18"/>
      <c r="R52" s="42"/>
      <c r="S52" s="18"/>
      <c r="T52" s="18"/>
      <c r="U52" s="18"/>
      <c r="V52" s="42"/>
      <c r="W52" s="18"/>
      <c r="X52" s="18"/>
    </row>
    <row r="53" spans="1:26" x14ac:dyDescent="0.25">
      <c r="A53" s="9"/>
      <c r="B53" s="53" t="s">
        <v>56</v>
      </c>
      <c r="D53" s="18"/>
      <c r="E53" s="18"/>
      <c r="G53" s="18"/>
      <c r="H53" s="18"/>
      <c r="I53" s="18"/>
      <c r="J53" s="42"/>
      <c r="K53" s="18"/>
      <c r="L53" s="18"/>
      <c r="M53" s="18"/>
      <c r="P53" s="18"/>
      <c r="Q53" s="18"/>
      <c r="R53" s="42"/>
      <c r="S53" s="18"/>
      <c r="T53" s="18"/>
      <c r="U53" s="18"/>
      <c r="V53" s="42"/>
      <c r="W53" s="18"/>
      <c r="X53" s="18"/>
    </row>
    <row r="54" spans="1:26" x14ac:dyDescent="0.25">
      <c r="A54" s="9"/>
      <c r="B54" s="52"/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","206", " - ", "Communications")</f>
        <v>Department 206 - Communications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7247</v>
      </c>
      <c r="E18" s="20"/>
      <c r="F18" s="30">
        <f t="shared" ref="F18:F26" si="0">IF(D$12=0,0,D18/D$12)</f>
        <v>0</v>
      </c>
      <c r="G18" s="20"/>
      <c r="H18" s="20">
        <f>SUM(OSRRefH22x_0)</f>
        <v>7691.3700000000008</v>
      </c>
      <c r="I18" s="20"/>
      <c r="J18" s="30">
        <f t="shared" ref="J18:J26" si="1">IF(H$12=0,0,H18/H$12)</f>
        <v>0</v>
      </c>
      <c r="K18" s="4"/>
      <c r="L18" s="20">
        <f t="shared" ref="L18:L26" si="2">+D18-H18</f>
        <v>-444.3700000000008</v>
      </c>
      <c r="M18" s="4"/>
      <c r="N18" s="30">
        <f t="shared" ref="N18:N26" si="3">IF(H18=0,0,L18/H18)</f>
        <v>-5.7775142789906191E-2</v>
      </c>
      <c r="O18" s="10"/>
      <c r="P18" s="20">
        <f>SUM(OSRRefP22x_0)</f>
        <v>25540.41</v>
      </c>
      <c r="Q18" s="20"/>
      <c r="R18" s="30">
        <f t="shared" ref="R18:R26" si="4">IF(P$12=0,0,P18/P$12)</f>
        <v>0</v>
      </c>
      <c r="S18" s="20"/>
      <c r="T18" s="20">
        <f>SUM(OSRRefT22x_0)</f>
        <v>26463.289999999997</v>
      </c>
      <c r="U18" s="20"/>
      <c r="V18" s="30">
        <f t="shared" ref="V18:V26" si="5">IF(T$12=0,0,T18/T$12)</f>
        <v>0</v>
      </c>
      <c r="W18" s="4"/>
      <c r="X18" s="20">
        <f t="shared" ref="X18:X26" si="6">+P18-T18</f>
        <v>-922.87999999999738</v>
      </c>
      <c r="Y18" s="4"/>
      <c r="Z18" s="30">
        <f t="shared" ref="Z18:Z26" si="7">IF(T18=0,0,X18/T18)</f>
        <v>-3.4873970696765122E-2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1787.88</v>
      </c>
      <c r="E19" s="1"/>
      <c r="F19" s="5">
        <f t="shared" si="0"/>
        <v>0</v>
      </c>
      <c r="G19" s="1"/>
      <c r="H19" s="1">
        <f>SUM(OSRRefH22_0x_0)</f>
        <v>1489.6699999999998</v>
      </c>
      <c r="I19" s="1"/>
      <c r="J19" s="5">
        <f t="shared" si="1"/>
        <v>0</v>
      </c>
      <c r="K19" s="1"/>
      <c r="L19" s="1">
        <f t="shared" si="2"/>
        <v>298.21000000000026</v>
      </c>
      <c r="M19" s="1"/>
      <c r="N19" s="5">
        <f t="shared" si="3"/>
        <v>0.20018527593359622</v>
      </c>
      <c r="O19" s="14"/>
      <c r="P19" s="1">
        <f>SUM(OSRRefP22_0x_0)</f>
        <v>5616.7399999999989</v>
      </c>
      <c r="Q19" s="1"/>
      <c r="R19" s="5">
        <f t="shared" si="4"/>
        <v>0</v>
      </c>
      <c r="S19" s="1"/>
      <c r="T19" s="1">
        <f>SUM(OSRRefT22_0x_0)</f>
        <v>4568.2300000000005</v>
      </c>
      <c r="U19" s="1"/>
      <c r="V19" s="5">
        <f t="shared" si="5"/>
        <v>0</v>
      </c>
      <c r="W19" s="1"/>
      <c r="X19" s="1">
        <f t="shared" si="6"/>
        <v>1048.5099999999984</v>
      </c>
      <c r="Y19" s="1"/>
      <c r="Z19" s="5">
        <f t="shared" si="7"/>
        <v>0.22952215628372438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342.58</v>
      </c>
      <c r="E20" s="2"/>
      <c r="F20" s="6">
        <f t="shared" si="0"/>
        <v>0</v>
      </c>
      <c r="G20" s="2"/>
      <c r="H20" s="7">
        <v>348.86</v>
      </c>
      <c r="I20" s="2"/>
      <c r="J20" s="6">
        <f t="shared" si="1"/>
        <v>0</v>
      </c>
      <c r="K20" s="2"/>
      <c r="L20" s="7">
        <f t="shared" si="2"/>
        <v>-6.2800000000000296</v>
      </c>
      <c r="M20" s="2"/>
      <c r="N20" s="6">
        <f t="shared" si="3"/>
        <v>-1.800149056928289E-2</v>
      </c>
      <c r="O20" s="11"/>
      <c r="P20" s="7">
        <v>1324.1</v>
      </c>
      <c r="Q20" s="2"/>
      <c r="R20" s="6">
        <f t="shared" si="4"/>
        <v>0</v>
      </c>
      <c r="S20" s="2"/>
      <c r="T20" s="7">
        <v>1138.22</v>
      </c>
      <c r="U20" s="2"/>
      <c r="V20" s="6">
        <f t="shared" si="5"/>
        <v>0</v>
      </c>
      <c r="W20" s="2"/>
      <c r="X20" s="7">
        <f t="shared" si="6"/>
        <v>185.87999999999988</v>
      </c>
      <c r="Y20" s="2"/>
      <c r="Z20" s="6">
        <f t="shared" si="7"/>
        <v>0.16330762067087196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74.17</v>
      </c>
      <c r="E21" s="2"/>
      <c r="F21" s="6">
        <f t="shared" si="0"/>
        <v>0</v>
      </c>
      <c r="G21" s="2"/>
      <c r="H21" s="7">
        <v>18.87</v>
      </c>
      <c r="I21" s="2"/>
      <c r="J21" s="6">
        <f t="shared" si="1"/>
        <v>0</v>
      </c>
      <c r="K21" s="2"/>
      <c r="L21" s="7">
        <f t="shared" si="2"/>
        <v>55.3</v>
      </c>
      <c r="M21" s="2"/>
      <c r="N21" s="6">
        <f t="shared" si="3"/>
        <v>2.9305776364599891</v>
      </c>
      <c r="O21" s="11"/>
      <c r="P21" s="7">
        <v>239.2</v>
      </c>
      <c r="Q21" s="2"/>
      <c r="R21" s="6">
        <f t="shared" si="4"/>
        <v>0</v>
      </c>
      <c r="S21" s="2"/>
      <c r="T21" s="7">
        <v>60.85</v>
      </c>
      <c r="U21" s="2"/>
      <c r="V21" s="6">
        <f t="shared" si="5"/>
        <v>0</v>
      </c>
      <c r="W21" s="2"/>
      <c r="X21" s="7">
        <f t="shared" si="6"/>
        <v>178.35</v>
      </c>
      <c r="Y21" s="2"/>
      <c r="Z21" s="6">
        <f t="shared" si="7"/>
        <v>2.9309778142974525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712.12</v>
      </c>
      <c r="E22" s="2"/>
      <c r="F22" s="6">
        <f t="shared" si="0"/>
        <v>0</v>
      </c>
      <c r="G22" s="2"/>
      <c r="H22" s="7">
        <v>700.87</v>
      </c>
      <c r="I22" s="2"/>
      <c r="J22" s="6">
        <f t="shared" si="1"/>
        <v>0</v>
      </c>
      <c r="K22" s="2"/>
      <c r="L22" s="7">
        <f t="shared" si="2"/>
        <v>11.25</v>
      </c>
      <c r="M22" s="2"/>
      <c r="N22" s="6">
        <f t="shared" si="3"/>
        <v>1.60514788762538E-2</v>
      </c>
      <c r="O22" s="11"/>
      <c r="P22" s="7">
        <v>2113.86</v>
      </c>
      <c r="Q22" s="2"/>
      <c r="R22" s="6">
        <f t="shared" si="4"/>
        <v>0</v>
      </c>
      <c r="S22" s="2"/>
      <c r="T22" s="7">
        <v>2102.61</v>
      </c>
      <c r="U22" s="2"/>
      <c r="V22" s="6">
        <f t="shared" si="5"/>
        <v>0</v>
      </c>
      <c r="W22" s="2"/>
      <c r="X22" s="7">
        <f t="shared" si="6"/>
        <v>11.25</v>
      </c>
      <c r="Y22" s="2"/>
      <c r="Z22" s="6">
        <f t="shared" si="7"/>
        <v>5.350492958751266E-3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14.95</v>
      </c>
      <c r="E23" s="2"/>
      <c r="F23" s="6">
        <f t="shared" si="0"/>
        <v>0</v>
      </c>
      <c r="G23" s="2"/>
      <c r="H23" s="7">
        <v>14.87</v>
      </c>
      <c r="I23" s="2"/>
      <c r="J23" s="6">
        <f t="shared" si="1"/>
        <v>0</v>
      </c>
      <c r="K23" s="2"/>
      <c r="L23" s="7">
        <f t="shared" si="2"/>
        <v>8.0000000000000071E-2</v>
      </c>
      <c r="M23" s="2"/>
      <c r="N23" s="6">
        <f t="shared" si="3"/>
        <v>5.3799596503026278E-3</v>
      </c>
      <c r="O23" s="11"/>
      <c r="P23" s="7">
        <v>48.22</v>
      </c>
      <c r="Q23" s="2"/>
      <c r="R23" s="6">
        <f t="shared" si="4"/>
        <v>0</v>
      </c>
      <c r="S23" s="2"/>
      <c r="T23" s="7">
        <v>47.95</v>
      </c>
      <c r="U23" s="2"/>
      <c r="V23" s="6">
        <f t="shared" si="5"/>
        <v>0</v>
      </c>
      <c r="W23" s="2"/>
      <c r="X23" s="7">
        <f t="shared" si="6"/>
        <v>0.26999999999999602</v>
      </c>
      <c r="Y23" s="2"/>
      <c r="Z23" s="6">
        <f t="shared" si="7"/>
        <v>5.6308654848800004E-3</v>
      </c>
    </row>
    <row r="24" spans="1:26" s="24" customFormat="1" hidden="1" outlineLevel="2" x14ac:dyDescent="0.25">
      <c r="A24" s="28"/>
      <c r="B24" s="11" t="str">
        <f>CONCATENATE("          ", "6118", " - ", "VACATION")</f>
        <v xml:space="preserve">          6118 - VACATION</v>
      </c>
      <c r="C24" s="11"/>
      <c r="D24" s="7">
        <v>276.60000000000002</v>
      </c>
      <c r="E24" s="2"/>
      <c r="F24" s="6">
        <f t="shared" si="0"/>
        <v>0</v>
      </c>
      <c r="G24" s="2"/>
      <c r="H24" s="7">
        <v>184.8</v>
      </c>
      <c r="I24" s="2"/>
      <c r="J24" s="6">
        <f t="shared" si="1"/>
        <v>0</v>
      </c>
      <c r="K24" s="2"/>
      <c r="L24" s="7">
        <f t="shared" si="2"/>
        <v>91.800000000000011</v>
      </c>
      <c r="M24" s="2"/>
      <c r="N24" s="6">
        <f t="shared" si="3"/>
        <v>0.49675324675324678</v>
      </c>
      <c r="O24" s="11"/>
      <c r="P24" s="7">
        <v>829.8</v>
      </c>
      <c r="Q24" s="2"/>
      <c r="R24" s="6">
        <f t="shared" si="4"/>
        <v>0</v>
      </c>
      <c r="S24" s="2"/>
      <c r="T24" s="7">
        <v>554.4</v>
      </c>
      <c r="U24" s="2"/>
      <c r="V24" s="6">
        <f t="shared" si="5"/>
        <v>0</v>
      </c>
      <c r="W24" s="2"/>
      <c r="X24" s="7">
        <f t="shared" si="6"/>
        <v>275.39999999999998</v>
      </c>
      <c r="Y24" s="2"/>
      <c r="Z24" s="6">
        <f t="shared" si="7"/>
        <v>0.49675324675324672</v>
      </c>
    </row>
    <row r="25" spans="1:26" s="24" customFormat="1" hidden="1" outlineLevel="2" x14ac:dyDescent="0.25">
      <c r="A25" s="28"/>
      <c r="B25" s="11" t="str">
        <f>CONCATENATE("          ", "6119", " - ", "SICK LEAVE")</f>
        <v xml:space="preserve">          6119 - SICK LEAVE</v>
      </c>
      <c r="C25" s="11"/>
      <c r="D25" s="7">
        <v>221.4</v>
      </c>
      <c r="E25" s="2"/>
      <c r="F25" s="6">
        <f t="shared" si="0"/>
        <v>0</v>
      </c>
      <c r="G25" s="2"/>
      <c r="H25" s="7">
        <v>221.4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664.2</v>
      </c>
      <c r="Q25" s="2"/>
      <c r="R25" s="6">
        <f t="shared" si="4"/>
        <v>0</v>
      </c>
      <c r="S25" s="2"/>
      <c r="T25" s="7">
        <v>664.2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8"/>
      <c r="B26" s="11" t="str">
        <f>CONCATENATE("          ", "6156", " - ", "EMPLOYEE MEALS")</f>
        <v xml:space="preserve">          6156 - EMPLOYEE MEALS</v>
      </c>
      <c r="C26" s="11"/>
      <c r="D26" s="7">
        <v>146.06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146.06</v>
      </c>
      <c r="M26" s="2"/>
      <c r="N26" s="6">
        <f t="shared" si="3"/>
        <v>0</v>
      </c>
      <c r="O26" s="11"/>
      <c r="P26" s="7">
        <v>397.36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397.36</v>
      </c>
      <c r="Y26" s="2"/>
      <c r="Z26" s="6">
        <f t="shared" si="7"/>
        <v>0</v>
      </c>
    </row>
    <row r="27" spans="1:26" s="27" customFormat="1" outlineLevel="1" collapsed="1" x14ac:dyDescent="0.25">
      <c r="A27" s="29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5369.52</v>
      </c>
      <c r="E27" s="1"/>
      <c r="F27" s="5">
        <f t="shared" ref="F27:F30" si="8">IF(D$12=0,0,D27/D$12)</f>
        <v>0</v>
      </c>
      <c r="G27" s="1"/>
      <c r="H27" s="1">
        <f>SUM(OSRRefH22_1x_0)</f>
        <v>5757.22</v>
      </c>
      <c r="I27" s="1"/>
      <c r="J27" s="5">
        <f t="shared" ref="J27:J30" si="9">IF(H$12=0,0,H27/H$12)</f>
        <v>0</v>
      </c>
      <c r="K27" s="1"/>
      <c r="L27" s="1">
        <f t="shared" ref="L27:L30" si="10">+D27-H27</f>
        <v>-387.69999999999982</v>
      </c>
      <c r="M27" s="1"/>
      <c r="N27" s="5">
        <f t="shared" ref="N27:N30" si="11">IF(H27=0,0,L27/H27)</f>
        <v>-6.7341529418712465E-2</v>
      </c>
      <c r="O27" s="14"/>
      <c r="P27" s="1">
        <f>SUM(OSRRefP22_1x_0)</f>
        <v>19275.79</v>
      </c>
      <c r="Q27" s="1"/>
      <c r="R27" s="5">
        <f t="shared" ref="R27:R30" si="12">IF(P$12=0,0,P27/P$12)</f>
        <v>0</v>
      </c>
      <c r="S27" s="1"/>
      <c r="T27" s="1">
        <f>SUM(OSRRefT22_1x_0)</f>
        <v>20662.830000000002</v>
      </c>
      <c r="U27" s="1"/>
      <c r="V27" s="5">
        <f t="shared" ref="V27:V30" si="13">IF(T$12=0,0,T27/T$12)</f>
        <v>0</v>
      </c>
      <c r="W27" s="1"/>
      <c r="X27" s="1">
        <f t="shared" ref="X27:X30" si="14">+P27-T27</f>
        <v>-1387.0400000000009</v>
      </c>
      <c r="Y27" s="1"/>
      <c r="Z27" s="5">
        <f t="shared" ref="Z27:Z30" si="15">IF(T27=0,0,X27/T27)</f>
        <v>-6.7127300568218431E-2</v>
      </c>
    </row>
    <row r="28" spans="1:26" s="24" customFormat="1" hidden="1" outlineLevel="2" x14ac:dyDescent="0.25">
      <c r="A28" s="28"/>
      <c r="B28" s="11" t="str">
        <f>CONCATENATE("          ", "6004", " - ", "STAFF HOURLY")</f>
        <v xml:space="preserve">          6004 - STAFF HOURLY</v>
      </c>
      <c r="C28" s="11"/>
      <c r="D28" s="7">
        <v>4497</v>
      </c>
      <c r="E28" s="2"/>
      <c r="F28" s="6">
        <f t="shared" si="8"/>
        <v>0</v>
      </c>
      <c r="G28" s="2"/>
      <c r="H28" s="7">
        <v>4593.75</v>
      </c>
      <c r="I28" s="2"/>
      <c r="J28" s="6">
        <f t="shared" si="9"/>
        <v>0</v>
      </c>
      <c r="K28" s="2"/>
      <c r="L28" s="7">
        <f t="shared" si="10"/>
        <v>-96.75</v>
      </c>
      <c r="M28" s="2"/>
      <c r="N28" s="6">
        <f t="shared" si="11"/>
        <v>-2.1061224489795919E-2</v>
      </c>
      <c r="O28" s="11"/>
      <c r="P28" s="7">
        <v>13300.95</v>
      </c>
      <c r="Q28" s="2"/>
      <c r="R28" s="6">
        <f t="shared" si="12"/>
        <v>0</v>
      </c>
      <c r="S28" s="2"/>
      <c r="T28" s="7">
        <v>15202.5</v>
      </c>
      <c r="U28" s="2"/>
      <c r="V28" s="6">
        <f t="shared" si="13"/>
        <v>0</v>
      </c>
      <c r="W28" s="2"/>
      <c r="X28" s="7">
        <f t="shared" si="14"/>
        <v>-1901.5499999999993</v>
      </c>
      <c r="Y28" s="2"/>
      <c r="Z28" s="6">
        <f t="shared" si="15"/>
        <v>-0.12508140108534777</v>
      </c>
    </row>
    <row r="29" spans="1:26" s="24" customFormat="1" hidden="1" outlineLevel="2" x14ac:dyDescent="0.25">
      <c r="A29" s="28"/>
      <c r="B29" s="11" t="str">
        <f>CONCATENATE("          ", "6007", " - ", "STUDENT HOURLY")</f>
        <v xml:space="preserve">          6007 - STUDENT HOURLY</v>
      </c>
      <c r="C29" s="11"/>
      <c r="D29" s="7"/>
      <c r="E29" s="2"/>
      <c r="F29" s="6">
        <f t="shared" si="8"/>
        <v>0</v>
      </c>
      <c r="G29" s="2"/>
      <c r="H29" s="7">
        <v>-7</v>
      </c>
      <c r="I29" s="2"/>
      <c r="J29" s="6">
        <f t="shared" si="9"/>
        <v>0</v>
      </c>
      <c r="K29" s="2"/>
      <c r="L29" s="7">
        <f t="shared" si="10"/>
        <v>7</v>
      </c>
      <c r="M29" s="2"/>
      <c r="N29" s="6">
        <f t="shared" si="11"/>
        <v>-1</v>
      </c>
      <c r="O29" s="11"/>
      <c r="P29" s="7">
        <v>0</v>
      </c>
      <c r="Q29" s="2"/>
      <c r="R29" s="6">
        <f t="shared" si="12"/>
        <v>0</v>
      </c>
      <c r="S29" s="2"/>
      <c r="T29" s="7">
        <v>1251</v>
      </c>
      <c r="U29" s="2"/>
      <c r="V29" s="6">
        <f t="shared" si="13"/>
        <v>0</v>
      </c>
      <c r="W29" s="2"/>
      <c r="X29" s="7">
        <f t="shared" si="14"/>
        <v>-1251</v>
      </c>
      <c r="Y29" s="2"/>
      <c r="Z29" s="6">
        <f t="shared" si="15"/>
        <v>-1</v>
      </c>
    </row>
    <row r="30" spans="1:26" s="24" customFormat="1" hidden="1" outlineLevel="2" x14ac:dyDescent="0.25">
      <c r="A30" s="28"/>
      <c r="B30" s="11" t="str">
        <f>CONCATENATE("          ", "6008", " - ", "STUDENT HOURLY-FICA EXEMPT")</f>
        <v xml:space="preserve">          6008 - STUDENT HOURLY-FICA EXEMPT</v>
      </c>
      <c r="C30" s="11"/>
      <c r="D30" s="7">
        <v>872.52</v>
      </c>
      <c r="E30" s="2"/>
      <c r="F30" s="6">
        <f t="shared" si="8"/>
        <v>0</v>
      </c>
      <c r="G30" s="2"/>
      <c r="H30" s="7">
        <v>1170.47</v>
      </c>
      <c r="I30" s="2"/>
      <c r="J30" s="6">
        <f t="shared" si="9"/>
        <v>0</v>
      </c>
      <c r="K30" s="2"/>
      <c r="L30" s="7">
        <f t="shared" si="10"/>
        <v>-297.95000000000005</v>
      </c>
      <c r="M30" s="2"/>
      <c r="N30" s="6">
        <f t="shared" si="11"/>
        <v>-0.25455586217502374</v>
      </c>
      <c r="O30" s="11"/>
      <c r="P30" s="7">
        <v>5974.84</v>
      </c>
      <c r="Q30" s="2"/>
      <c r="R30" s="6">
        <f t="shared" si="12"/>
        <v>0</v>
      </c>
      <c r="S30" s="2"/>
      <c r="T30" s="7">
        <v>4209.33</v>
      </c>
      <c r="U30" s="2"/>
      <c r="V30" s="6">
        <f t="shared" si="13"/>
        <v>0</v>
      </c>
      <c r="W30" s="2"/>
      <c r="X30" s="7">
        <f t="shared" si="14"/>
        <v>1765.5100000000002</v>
      </c>
      <c r="Y30" s="2"/>
      <c r="Z30" s="6">
        <f t="shared" si="15"/>
        <v>0.41942779492223231</v>
      </c>
    </row>
    <row r="31" spans="1:26" s="27" customFormat="1" outlineLevel="1" collapsed="1" x14ac:dyDescent="0.25">
      <c r="A31" s="29"/>
      <c r="B31" s="14" t="str">
        <f>CONCATENATE("     ","Advertising/Promo                                 ")</f>
        <v xml:space="preserve">     Advertising/Promo                                 </v>
      </c>
      <c r="C31" s="14"/>
      <c r="D31" s="1">
        <f>SUM(OSRRefD22_2x_0)</f>
        <v>53.6</v>
      </c>
      <c r="E31" s="1"/>
      <c r="F31" s="5">
        <f t="shared" ref="F31:F40" si="16">IF(D$12=0,0,D31/D$12)</f>
        <v>0</v>
      </c>
      <c r="G31" s="1"/>
      <c r="H31" s="1">
        <f>SUM(OSRRefH22_2x_0)</f>
        <v>173.21</v>
      </c>
      <c r="I31" s="1"/>
      <c r="J31" s="5">
        <f t="shared" ref="J31:J40" si="17">IF(H$12=0,0,H31/H$12)</f>
        <v>0</v>
      </c>
      <c r="K31" s="1"/>
      <c r="L31" s="1">
        <f t="shared" ref="L31:L40" si="18">+D31-H31</f>
        <v>-119.61000000000001</v>
      </c>
      <c r="M31" s="1"/>
      <c r="N31" s="5">
        <f t="shared" ref="N31:N40" si="19">IF(H31=0,0,L31/H31)</f>
        <v>-0.69054904451244159</v>
      </c>
      <c r="O31" s="14"/>
      <c r="P31" s="1">
        <f>SUM(OSRRefP22_2x_0)</f>
        <v>400.02</v>
      </c>
      <c r="Q31" s="1"/>
      <c r="R31" s="5">
        <f t="shared" ref="R31:R40" si="20">IF(P$12=0,0,P31/P$12)</f>
        <v>0</v>
      </c>
      <c r="S31" s="1"/>
      <c r="T31" s="1">
        <f>SUM(OSRRefT22_2x_0)</f>
        <v>346.42</v>
      </c>
      <c r="U31" s="1"/>
      <c r="V31" s="5">
        <f t="shared" ref="V31:V40" si="21">IF(T$12=0,0,T31/T$12)</f>
        <v>0</v>
      </c>
      <c r="W31" s="1"/>
      <c r="X31" s="1">
        <f t="shared" ref="X31:X40" si="22">+P31-T31</f>
        <v>53.599999999999966</v>
      </c>
      <c r="Y31" s="1"/>
      <c r="Z31" s="5">
        <f t="shared" ref="Z31:Z40" si="23">IF(T31=0,0,X31/T31)</f>
        <v>0.15472547774377912</v>
      </c>
    </row>
    <row r="32" spans="1:26" s="24" customFormat="1" hidden="1" outlineLevel="2" x14ac:dyDescent="0.25">
      <c r="A32" s="28"/>
      <c r="B32" s="11" t="str">
        <f>CONCATENATE("          ", "6362", " - ", "ADVERTISING EXPENSE")</f>
        <v xml:space="preserve">          6362 - ADVERTISING EXPENSE</v>
      </c>
      <c r="C32" s="11"/>
      <c r="D32" s="7">
        <v>53.6</v>
      </c>
      <c r="E32" s="2"/>
      <c r="F32" s="6">
        <f t="shared" si="16"/>
        <v>0</v>
      </c>
      <c r="G32" s="2"/>
      <c r="H32" s="7">
        <v>173.21</v>
      </c>
      <c r="I32" s="2"/>
      <c r="J32" s="6">
        <f t="shared" si="17"/>
        <v>0</v>
      </c>
      <c r="K32" s="2"/>
      <c r="L32" s="7">
        <f t="shared" si="18"/>
        <v>-119.61000000000001</v>
      </c>
      <c r="M32" s="2"/>
      <c r="N32" s="6">
        <f t="shared" si="19"/>
        <v>-0.69054904451244159</v>
      </c>
      <c r="O32" s="11"/>
      <c r="P32" s="7">
        <v>400.02</v>
      </c>
      <c r="Q32" s="2"/>
      <c r="R32" s="6">
        <f t="shared" si="20"/>
        <v>0</v>
      </c>
      <c r="S32" s="2"/>
      <c r="T32" s="7">
        <v>346.42</v>
      </c>
      <c r="U32" s="2"/>
      <c r="V32" s="6">
        <f t="shared" si="21"/>
        <v>0</v>
      </c>
      <c r="W32" s="2"/>
      <c r="X32" s="7">
        <f t="shared" si="22"/>
        <v>53.599999999999966</v>
      </c>
      <c r="Y32" s="2"/>
      <c r="Z32" s="6">
        <f t="shared" si="23"/>
        <v>0.15472547774377912</v>
      </c>
    </row>
    <row r="33" spans="1:26" s="27" customFormat="1" outlineLevel="1" collapsed="1" x14ac:dyDescent="0.25">
      <c r="A33" s="29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271.27</v>
      </c>
      <c r="I33" s="1"/>
      <c r="J33" s="5">
        <f t="shared" si="17"/>
        <v>0</v>
      </c>
      <c r="K33" s="1"/>
      <c r="L33" s="1">
        <f t="shared" si="18"/>
        <v>-271.27</v>
      </c>
      <c r="M33" s="1"/>
      <c r="N33" s="5">
        <f t="shared" si="19"/>
        <v>-1</v>
      </c>
      <c r="O33" s="14"/>
      <c r="P33" s="1">
        <f>SUM(OSRRefP22_3x_0)</f>
        <v>0</v>
      </c>
      <c r="Q33" s="1"/>
      <c r="R33" s="5">
        <f t="shared" si="20"/>
        <v>0</v>
      </c>
      <c r="S33" s="1"/>
      <c r="T33" s="1">
        <f>SUM(OSRRefT22_3x_0)</f>
        <v>813.81</v>
      </c>
      <c r="U33" s="1"/>
      <c r="V33" s="5">
        <f t="shared" si="21"/>
        <v>0</v>
      </c>
      <c r="W33" s="1"/>
      <c r="X33" s="1">
        <f t="shared" si="22"/>
        <v>-813.81</v>
      </c>
      <c r="Y33" s="1"/>
      <c r="Z33" s="5">
        <f t="shared" si="23"/>
        <v>-1</v>
      </c>
    </row>
    <row r="34" spans="1:26" s="24" customFormat="1" hidden="1" outlineLevel="2" x14ac:dyDescent="0.25">
      <c r="A34" s="28"/>
      <c r="B34" s="11" t="str">
        <f>CONCATENATE("          ", "6322", " - ", "EQUIPMENT DEPRECIATION EXPENSE")</f>
        <v xml:space="preserve">          6322 - EQUIPMENT DEPRECIATION EXPENSE</v>
      </c>
      <c r="C34" s="11"/>
      <c r="D34" s="7"/>
      <c r="E34" s="2"/>
      <c r="F34" s="6">
        <f t="shared" si="16"/>
        <v>0</v>
      </c>
      <c r="G34" s="2"/>
      <c r="H34" s="7">
        <v>271.27</v>
      </c>
      <c r="I34" s="2"/>
      <c r="J34" s="6">
        <f t="shared" si="17"/>
        <v>0</v>
      </c>
      <c r="K34" s="2"/>
      <c r="L34" s="7">
        <f t="shared" si="18"/>
        <v>-271.27</v>
      </c>
      <c r="M34" s="2"/>
      <c r="N34" s="6">
        <f t="shared" si="19"/>
        <v>-1</v>
      </c>
      <c r="O34" s="11"/>
      <c r="P34" s="7"/>
      <c r="Q34" s="2"/>
      <c r="R34" s="6">
        <f t="shared" si="20"/>
        <v>0</v>
      </c>
      <c r="S34" s="2"/>
      <c r="T34" s="7">
        <v>813.81</v>
      </c>
      <c r="U34" s="2"/>
      <c r="V34" s="6">
        <f t="shared" si="21"/>
        <v>0</v>
      </c>
      <c r="W34" s="2"/>
      <c r="X34" s="7">
        <f t="shared" si="22"/>
        <v>-813.81</v>
      </c>
      <c r="Y34" s="2"/>
      <c r="Z34" s="6">
        <f t="shared" si="23"/>
        <v>-1</v>
      </c>
    </row>
    <row r="35" spans="1:26" s="27" customFormat="1" outlineLevel="1" collapsed="1" x14ac:dyDescent="0.25">
      <c r="A35" s="29"/>
      <c r="B35" s="14" t="str">
        <f>CONCATENATE("     ","Repair and Maintenance                            ")</f>
        <v xml:space="preserve">     Repair and Maintenance                            </v>
      </c>
      <c r="C35" s="14"/>
      <c r="D35" s="1">
        <f>SUM(OSRRefD22_4x_0)</f>
        <v>0</v>
      </c>
      <c r="E35" s="1"/>
      <c r="F35" s="5">
        <f t="shared" si="16"/>
        <v>0</v>
      </c>
      <c r="G35" s="1"/>
      <c r="H35" s="1">
        <f>SUM(OSRRefH22_4x_0)</f>
        <v>0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SUM(OSRRefP22_4x_0)</f>
        <v>63.36</v>
      </c>
      <c r="Q35" s="1"/>
      <c r="R35" s="5">
        <f t="shared" si="20"/>
        <v>0</v>
      </c>
      <c r="S35" s="1"/>
      <c r="T35" s="1">
        <f>SUM(OSRRefT22_4x_0)</f>
        <v>0</v>
      </c>
      <c r="U35" s="1"/>
      <c r="V35" s="5">
        <f t="shared" si="21"/>
        <v>0</v>
      </c>
      <c r="W35" s="1"/>
      <c r="X35" s="1">
        <f t="shared" si="22"/>
        <v>63.36</v>
      </c>
      <c r="Y35" s="1"/>
      <c r="Z35" s="5">
        <f t="shared" si="23"/>
        <v>0</v>
      </c>
    </row>
    <row r="36" spans="1:26" s="24" customFormat="1" hidden="1" outlineLevel="2" x14ac:dyDescent="0.25">
      <c r="A36" s="28"/>
      <c r="B36" s="11" t="str">
        <f>CONCATENATE("          ", "6375", " - ", "OUTSIDE REPAIRS &amp; MAINTENANCE")</f>
        <v xml:space="preserve">          6375 - OUTSIDE REPAIRS &amp; MAINTENANCE</v>
      </c>
      <c r="C36" s="11"/>
      <c r="D36" s="7"/>
      <c r="E36" s="2"/>
      <c r="F36" s="6">
        <f t="shared" si="16"/>
        <v>0</v>
      </c>
      <c r="G36" s="2"/>
      <c r="H36" s="7"/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>
        <v>63.36</v>
      </c>
      <c r="Q36" s="2"/>
      <c r="R36" s="6">
        <f t="shared" si="20"/>
        <v>0</v>
      </c>
      <c r="S36" s="2"/>
      <c r="T36" s="7"/>
      <c r="U36" s="2"/>
      <c r="V36" s="6">
        <f t="shared" si="21"/>
        <v>0</v>
      </c>
      <c r="W36" s="2"/>
      <c r="X36" s="7">
        <f t="shared" si="22"/>
        <v>63.36</v>
      </c>
      <c r="Y36" s="2"/>
      <c r="Z36" s="6">
        <f t="shared" si="23"/>
        <v>0</v>
      </c>
    </row>
    <row r="37" spans="1:26" s="27" customFormat="1" outlineLevel="1" collapsed="1" x14ac:dyDescent="0.25">
      <c r="A37" s="29"/>
      <c r="B37" s="14" t="str">
        <f>CONCATENATE("     ","Supplies                                          ")</f>
        <v xml:space="preserve">     Supplies                                          </v>
      </c>
      <c r="C37" s="14"/>
      <c r="D37" s="1">
        <f>SUM(OSRRefD22_5x_0)</f>
        <v>0</v>
      </c>
      <c r="E37" s="1"/>
      <c r="F37" s="5">
        <f t="shared" si="16"/>
        <v>0</v>
      </c>
      <c r="G37" s="1"/>
      <c r="H37" s="1">
        <f>SUM(OSRRefH22_5x_0)</f>
        <v>0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4"/>
      <c r="P37" s="1">
        <f>SUM(OSRRefP22_5x_0)</f>
        <v>4.5</v>
      </c>
      <c r="Q37" s="1"/>
      <c r="R37" s="5">
        <f t="shared" si="20"/>
        <v>0</v>
      </c>
      <c r="S37" s="1"/>
      <c r="T37" s="1">
        <f>SUM(OSRRefT22_5x_0)</f>
        <v>0</v>
      </c>
      <c r="U37" s="1"/>
      <c r="V37" s="5">
        <f t="shared" si="21"/>
        <v>0</v>
      </c>
      <c r="W37" s="1"/>
      <c r="X37" s="1">
        <f t="shared" si="22"/>
        <v>4.5</v>
      </c>
      <c r="Y37" s="1"/>
      <c r="Z37" s="5">
        <f t="shared" si="23"/>
        <v>0</v>
      </c>
    </row>
    <row r="38" spans="1:26" s="24" customFormat="1" hidden="1" outlineLevel="2" x14ac:dyDescent="0.25">
      <c r="A38" s="28"/>
      <c r="B38" s="11" t="str">
        <f>CONCATENATE("          ", "6241", " - ", "OFFICE EXPENSE")</f>
        <v xml:space="preserve">          6241 - OFFICE EXPENSE</v>
      </c>
      <c r="C38" s="11"/>
      <c r="D38" s="7"/>
      <c r="E38" s="2"/>
      <c r="F38" s="6">
        <f t="shared" si="16"/>
        <v>0</v>
      </c>
      <c r="G38" s="2"/>
      <c r="H38" s="7"/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>
        <v>4.5</v>
      </c>
      <c r="Q38" s="2"/>
      <c r="R38" s="6">
        <f t="shared" si="20"/>
        <v>0</v>
      </c>
      <c r="S38" s="2"/>
      <c r="T38" s="7"/>
      <c r="U38" s="2"/>
      <c r="V38" s="6">
        <f t="shared" si="21"/>
        <v>0</v>
      </c>
      <c r="W38" s="2"/>
      <c r="X38" s="7">
        <f t="shared" si="22"/>
        <v>4.5</v>
      </c>
      <c r="Y38" s="2"/>
      <c r="Z38" s="6">
        <f t="shared" si="23"/>
        <v>0</v>
      </c>
    </row>
    <row r="39" spans="1:26" s="27" customFormat="1" outlineLevel="1" collapsed="1" x14ac:dyDescent="0.25">
      <c r="A39" s="29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SUM(OSRRefD22_6x_0)</f>
        <v>36</v>
      </c>
      <c r="E39" s="1"/>
      <c r="F39" s="5">
        <f t="shared" si="16"/>
        <v>0</v>
      </c>
      <c r="G39" s="1"/>
      <c r="H39" s="1">
        <f>SUM(OSRRefH22_6x_0)</f>
        <v>0</v>
      </c>
      <c r="I39" s="1"/>
      <c r="J39" s="5">
        <f t="shared" si="17"/>
        <v>0</v>
      </c>
      <c r="K39" s="1"/>
      <c r="L39" s="1">
        <f t="shared" si="18"/>
        <v>36</v>
      </c>
      <c r="M39" s="1"/>
      <c r="N39" s="5">
        <f t="shared" si="19"/>
        <v>0</v>
      </c>
      <c r="O39" s="14"/>
      <c r="P39" s="1">
        <f>SUM(OSRRefP22_6x_0)</f>
        <v>180</v>
      </c>
      <c r="Q39" s="1"/>
      <c r="R39" s="5">
        <f t="shared" si="20"/>
        <v>0</v>
      </c>
      <c r="S39" s="1"/>
      <c r="T39" s="1">
        <f>SUM(OSRRefT22_6x_0)</f>
        <v>72</v>
      </c>
      <c r="U39" s="1"/>
      <c r="V39" s="5">
        <f t="shared" si="21"/>
        <v>0</v>
      </c>
      <c r="W39" s="1"/>
      <c r="X39" s="1">
        <f t="shared" si="22"/>
        <v>108</v>
      </c>
      <c r="Y39" s="1"/>
      <c r="Z39" s="5">
        <f t="shared" si="23"/>
        <v>1.5</v>
      </c>
    </row>
    <row r="40" spans="1:26" s="24" customFormat="1" hidden="1" outlineLevel="2" x14ac:dyDescent="0.25">
      <c r="A40" s="28"/>
      <c r="B40" s="11" t="str">
        <f>CONCATENATE("          ", "6309", " - ", "TELEPHONE")</f>
        <v xml:space="preserve">          6309 - TELEPHONE</v>
      </c>
      <c r="C40" s="11"/>
      <c r="D40" s="7">
        <v>36</v>
      </c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36</v>
      </c>
      <c r="M40" s="2"/>
      <c r="N40" s="6">
        <f t="shared" si="19"/>
        <v>0</v>
      </c>
      <c r="O40" s="11"/>
      <c r="P40" s="7">
        <v>180</v>
      </c>
      <c r="Q40" s="2"/>
      <c r="R40" s="6">
        <f t="shared" si="20"/>
        <v>0</v>
      </c>
      <c r="S40" s="2"/>
      <c r="T40" s="7">
        <v>72</v>
      </c>
      <c r="U40" s="2"/>
      <c r="V40" s="6">
        <f t="shared" si="21"/>
        <v>0</v>
      </c>
      <c r="W40" s="2"/>
      <c r="X40" s="7">
        <f t="shared" si="22"/>
        <v>108</v>
      </c>
      <c r="Y40" s="2"/>
      <c r="Z40" s="6">
        <f t="shared" si="23"/>
        <v>1.5</v>
      </c>
    </row>
    <row r="41" spans="1:26" s="54" customFormat="1" x14ac:dyDescent="0.25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25">
      <c r="A42" s="10"/>
      <c r="B42" s="26" t="s">
        <v>292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25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25">
      <c r="A44" s="10"/>
      <c r="B44" s="25" t="s">
        <v>276</v>
      </c>
      <c r="C44" s="25"/>
      <c r="D44" s="21">
        <f>+D16-D18+D42</f>
        <v>-7247</v>
      </c>
      <c r="E44" s="13"/>
      <c r="F44" s="22">
        <f>IF(D$12=0,0,D44/D$12)</f>
        <v>0</v>
      </c>
      <c r="G44" s="13"/>
      <c r="H44" s="21">
        <f>+H16-H18+H42</f>
        <v>-7691.3700000000008</v>
      </c>
      <c r="I44" s="13"/>
      <c r="J44" s="22">
        <f>IF(H$12=0,0,H44/H$12)</f>
        <v>0</v>
      </c>
      <c r="K44" s="16"/>
      <c r="L44" s="21">
        <f>+D44-H44</f>
        <v>444.3700000000008</v>
      </c>
      <c r="M44" s="16"/>
      <c r="N44" s="22">
        <f>IF(H44=0,0,L44/H44)</f>
        <v>-5.7775142789906191E-2</v>
      </c>
      <c r="O44" s="26"/>
      <c r="P44" s="21">
        <f>+P16-P18+P42</f>
        <v>-25540.41</v>
      </c>
      <c r="Q44" s="13"/>
      <c r="R44" s="22">
        <f>IF(P$12=0,0,P44/P$12)</f>
        <v>0</v>
      </c>
      <c r="S44" s="13"/>
      <c r="T44" s="21">
        <f>+T16-T18+T42</f>
        <v>-26463.289999999997</v>
      </c>
      <c r="U44" s="13"/>
      <c r="V44" s="22">
        <f>IF(T$12=0,0,T44/T$12)</f>
        <v>0</v>
      </c>
      <c r="W44" s="16"/>
      <c r="X44" s="21">
        <f>+P44-T44</f>
        <v>922.87999999999738</v>
      </c>
      <c r="Y44" s="16"/>
      <c r="Z44" s="22">
        <f>IF(T44=0,0,X44/T44)</f>
        <v>-3.4873970696765122E-2</v>
      </c>
    </row>
    <row r="45" spans="1:26" x14ac:dyDescent="0.25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51"/>
      <c r="B46" s="10" t="s">
        <v>127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.75" thickBot="1" x14ac:dyDescent="0.3">
      <c r="A48" s="10"/>
      <c r="B48" s="25" t="s">
        <v>125</v>
      </c>
      <c r="C48" s="25"/>
      <c r="D48" s="33">
        <f>+D44-D46</f>
        <v>-7247</v>
      </c>
      <c r="E48" s="13"/>
      <c r="F48" s="35">
        <f>IF(D$12=0,0,D48/D$12)</f>
        <v>0</v>
      </c>
      <c r="G48" s="13"/>
      <c r="H48" s="33">
        <f>+H44-H46</f>
        <v>-7691.3700000000008</v>
      </c>
      <c r="I48" s="13"/>
      <c r="J48" s="35">
        <f>IF(H$12=0,0,H48/H$12)</f>
        <v>0</v>
      </c>
      <c r="K48" s="16"/>
      <c r="L48" s="33">
        <f>D48-H48</f>
        <v>444.3700000000008</v>
      </c>
      <c r="M48" s="16"/>
      <c r="N48" s="35">
        <f>IF(H48=0,0,L48/H48)</f>
        <v>-5.7775142789906191E-2</v>
      </c>
      <c r="O48" s="26"/>
      <c r="P48" s="33">
        <f>+P44-P46</f>
        <v>-25540.41</v>
      </c>
      <c r="Q48" s="13"/>
      <c r="R48" s="35">
        <f>IF(P$12=0,0,P48/P$12)</f>
        <v>0</v>
      </c>
      <c r="S48" s="13"/>
      <c r="T48" s="33">
        <f>+T44-T46</f>
        <v>-26463.289999999997</v>
      </c>
      <c r="U48" s="13"/>
      <c r="V48" s="35">
        <f>IF(T$12=0,0,T48/T$12)</f>
        <v>0</v>
      </c>
      <c r="W48" s="16"/>
      <c r="X48" s="33">
        <f>P48-T48</f>
        <v>922.87999999999738</v>
      </c>
      <c r="Y48" s="16"/>
      <c r="Z48" s="35">
        <f>IF(T48=0,0,X48/T48)</f>
        <v>-3.4873970696765122E-2</v>
      </c>
    </row>
    <row r="49" spans="1:26" ht="15.75" thickTop="1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x14ac:dyDescent="0.25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.75" thickBot="1" x14ac:dyDescent="0.3">
      <c r="A51" s="10"/>
      <c r="B51" s="25" t="s">
        <v>293</v>
      </c>
      <c r="C51" s="25"/>
      <c r="D51" s="31">
        <f>SUM(D48:D50)</f>
        <v>-7247</v>
      </c>
      <c r="E51" s="13"/>
      <c r="F51" s="32">
        <f>IF(D$12=0,0,D51/D$12)</f>
        <v>0</v>
      </c>
      <c r="G51" s="13"/>
      <c r="H51" s="31">
        <f>SUM(H48:H50)</f>
        <v>-7691.3700000000008</v>
      </c>
      <c r="I51" s="13"/>
      <c r="J51" s="32">
        <f>IF(H$12=0,0,H51/H$12)</f>
        <v>0</v>
      </c>
      <c r="K51" s="16"/>
      <c r="L51" s="31">
        <f>+D51-H51</f>
        <v>444.3700000000008</v>
      </c>
      <c r="M51" s="16"/>
      <c r="N51" s="32">
        <f>IF(H51=0,0,L51/H51)</f>
        <v>-5.7775142789906191E-2</v>
      </c>
      <c r="O51" s="26"/>
      <c r="P51" s="31">
        <f>SUM(P48:P50)</f>
        <v>-25540.41</v>
      </c>
      <c r="Q51" s="13"/>
      <c r="R51" s="32">
        <f>IF(P$12=0,0,P51/P$12)</f>
        <v>0</v>
      </c>
      <c r="S51" s="13"/>
      <c r="T51" s="31">
        <f>SUM(T48:T50)</f>
        <v>-26463.289999999997</v>
      </c>
      <c r="U51" s="13"/>
      <c r="V51" s="32">
        <f>IF(T$12=0,0,T51/T$12)</f>
        <v>0</v>
      </c>
      <c r="W51" s="16"/>
      <c r="X51" s="31">
        <f>+P51-T51</f>
        <v>922.87999999999738</v>
      </c>
      <c r="Y51" s="16"/>
      <c r="Z51" s="32">
        <f>IF(T51=0,0,X51/T51)</f>
        <v>-3.4873970696765122E-2</v>
      </c>
    </row>
    <row r="52" spans="1:26" ht="15.75" thickTop="1" x14ac:dyDescent="0.25">
      <c r="A52" s="9"/>
      <c r="C52" s="9"/>
      <c r="D52" s="18"/>
      <c r="E52" s="18"/>
      <c r="G52" s="18"/>
      <c r="H52" s="18"/>
      <c r="I52" s="18"/>
      <c r="J52" s="42"/>
      <c r="K52" s="18"/>
      <c r="L52" s="18"/>
      <c r="M52" s="18"/>
      <c r="P52" s="18"/>
      <c r="Q52" s="18"/>
      <c r="R52" s="42"/>
      <c r="S52" s="18"/>
      <c r="T52" s="18"/>
      <c r="U52" s="18"/>
      <c r="V52" s="42"/>
      <c r="W52" s="18"/>
      <c r="X52" s="18"/>
    </row>
    <row r="53" spans="1:26" x14ac:dyDescent="0.25">
      <c r="A53" s="9"/>
      <c r="B53" s="58">
        <v>44481.985668518515</v>
      </c>
      <c r="D53" s="18"/>
      <c r="E53" s="18"/>
      <c r="G53" s="18"/>
      <c r="H53" s="18"/>
      <c r="I53" s="18"/>
      <c r="J53" s="42"/>
      <c r="K53" s="18"/>
      <c r="L53" s="18"/>
      <c r="M53" s="18"/>
      <c r="P53" s="18"/>
      <c r="Q53" s="18"/>
      <c r="R53" s="42"/>
      <c r="S53" s="18"/>
      <c r="T53" s="18"/>
      <c r="U53" s="18"/>
      <c r="V53" s="42"/>
      <c r="W53" s="18"/>
      <c r="X53" s="18"/>
    </row>
    <row r="54" spans="1:26" x14ac:dyDescent="0.25">
      <c r="A54" s="9"/>
      <c r="B54" s="53" t="s">
        <v>56</v>
      </c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A55" s="9"/>
      <c r="B55" s="52"/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  <row r="56" spans="1:26" x14ac:dyDescent="0.25"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</sheetPr>
  <dimension ref="A2:Z22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106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600565.54000000015</v>
      </c>
      <c r="E12" s="4"/>
      <c r="F12" s="12"/>
      <c r="G12" s="4"/>
      <c r="H12" s="4">
        <f>SUM(OSRRefH13x_0)</f>
        <v>370907.34</v>
      </c>
      <c r="I12" s="4"/>
      <c r="J12" s="12"/>
      <c r="K12" s="4"/>
      <c r="L12" s="4">
        <f t="shared" ref="L12:L77" si="0">+D12-H12</f>
        <v>229658.20000000013</v>
      </c>
      <c r="M12" s="4"/>
      <c r="N12" s="12">
        <f t="shared" ref="N12:N77" si="1">IF(H12=0,0,L12/H12)</f>
        <v>0.61917944249903523</v>
      </c>
      <c r="O12" s="10"/>
      <c r="P12" s="4">
        <f>SUM(OSRRefP13x_0)</f>
        <v>2340523.3499999996</v>
      </c>
      <c r="Q12" s="4"/>
      <c r="R12" s="12"/>
      <c r="S12" s="4"/>
      <c r="T12" s="4">
        <f>SUM(OSRRefT13x_0)</f>
        <v>2196487.6999999993</v>
      </c>
      <c r="U12" s="4"/>
      <c r="V12" s="12"/>
      <c r="W12" s="4"/>
      <c r="X12" s="4">
        <f t="shared" ref="X12:X77" si="2">+P12-T12</f>
        <v>144035.65000000037</v>
      </c>
      <c r="Y12" s="4"/>
      <c r="Z12" s="12">
        <f t="shared" ref="Z12:Z77" si="3">IF(T12=0,0,X12/T12)</f>
        <v>6.5575441191862996E-2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--486744.8</f>
        <v>486744.8</v>
      </c>
      <c r="E13" s="2"/>
      <c r="F13" s="19"/>
      <c r="G13" s="2"/>
      <c r="H13" s="2">
        <f>-8123.23</f>
        <v>-8123.23</v>
      </c>
      <c r="I13" s="2"/>
      <c r="J13" s="19"/>
      <c r="K13" s="2"/>
      <c r="L13" s="2">
        <f t="shared" si="0"/>
        <v>494868.02999999997</v>
      </c>
      <c r="M13" s="2"/>
      <c r="N13" s="19">
        <f t="shared" si="1"/>
        <v>-60.920105672251061</v>
      </c>
      <c r="O13" s="11"/>
      <c r="P13" s="2">
        <f>--1895446.43</f>
        <v>1895446.43</v>
      </c>
      <c r="Q13" s="2"/>
      <c r="R13" s="19"/>
      <c r="S13" s="2"/>
      <c r="T13" s="2">
        <f>-36077.08</f>
        <v>-36077.08</v>
      </c>
      <c r="U13" s="2"/>
      <c r="V13" s="19"/>
      <c r="W13" s="2"/>
      <c r="X13" s="2">
        <f t="shared" si="2"/>
        <v>1931523.51</v>
      </c>
      <c r="Y13" s="2"/>
      <c r="Z13" s="19">
        <f t="shared" si="3"/>
        <v>-53.538798317380454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2" si="4">0</f>
        <v>0</v>
      </c>
      <c r="E14" s="2"/>
      <c r="F14" s="19"/>
      <c r="G14" s="2"/>
      <c r="H14" s="2">
        <f>--110499.32</f>
        <v>110499.32</v>
      </c>
      <c r="I14" s="2"/>
      <c r="J14" s="19"/>
      <c r="K14" s="2"/>
      <c r="L14" s="2">
        <f t="shared" si="0"/>
        <v>-110499.32</v>
      </c>
      <c r="M14" s="2"/>
      <c r="N14" s="19">
        <f t="shared" si="1"/>
        <v>-1</v>
      </c>
      <c r="O14" s="11"/>
      <c r="P14" s="2">
        <f t="shared" ref="P14:P32" si="5">0</f>
        <v>0</v>
      </c>
      <c r="Q14" s="2"/>
      <c r="R14" s="19"/>
      <c r="S14" s="2"/>
      <c r="T14" s="2">
        <f>--694696.64</f>
        <v>694696.64</v>
      </c>
      <c r="U14" s="2"/>
      <c r="V14" s="19"/>
      <c r="W14" s="2"/>
      <c r="X14" s="2">
        <f t="shared" si="2"/>
        <v>-694696.64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--38043.74</f>
        <v>38043.74</v>
      </c>
      <c r="I15" s="2"/>
      <c r="J15" s="19"/>
      <c r="K15" s="2"/>
      <c r="L15" s="2">
        <f t="shared" si="0"/>
        <v>-38043.74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--316655.9</f>
        <v>316655.90000000002</v>
      </c>
      <c r="U15" s="2"/>
      <c r="V15" s="19"/>
      <c r="W15" s="2"/>
      <c r="X15" s="2">
        <f t="shared" si="2"/>
        <v>-316655.90000000002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--1539.79</f>
        <v>1539.79</v>
      </c>
      <c r="I16" s="2"/>
      <c r="J16" s="19"/>
      <c r="K16" s="2"/>
      <c r="L16" s="2">
        <f t="shared" si="0"/>
        <v>-1539.79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--10595.63</f>
        <v>10595.63</v>
      </c>
      <c r="U16" s="2"/>
      <c r="V16" s="19"/>
      <c r="W16" s="2"/>
      <c r="X16" s="2">
        <f t="shared" si="2"/>
        <v>-10595.63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--284.22</f>
        <v>284.22000000000003</v>
      </c>
      <c r="I17" s="2"/>
      <c r="J17" s="19"/>
      <c r="K17" s="2"/>
      <c r="L17" s="2">
        <f t="shared" si="0"/>
        <v>-284.22000000000003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--2105.11</f>
        <v>2105.11</v>
      </c>
      <c r="U17" s="2"/>
      <c r="V17" s="19"/>
      <c r="W17" s="2"/>
      <c r="X17" s="2">
        <f t="shared" si="2"/>
        <v>-2105.11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--39.9</f>
        <v>39.9</v>
      </c>
      <c r="U18" s="2"/>
      <c r="V18" s="19"/>
      <c r="W18" s="2"/>
      <c r="X18" s="2">
        <f t="shared" si="2"/>
        <v>-39.9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--97.51</f>
        <v>97.51</v>
      </c>
      <c r="I19" s="2"/>
      <c r="J19" s="19"/>
      <c r="K19" s="2"/>
      <c r="L19" s="2">
        <f t="shared" si="0"/>
        <v>-97.51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--304.44</f>
        <v>304.44</v>
      </c>
      <c r="U19" s="2"/>
      <c r="V19" s="19"/>
      <c r="W19" s="2"/>
      <c r="X19" s="2">
        <f t="shared" si="2"/>
        <v>-304.44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--48.87</f>
        <v>48.87</v>
      </c>
      <c r="I20" s="2"/>
      <c r="J20" s="19"/>
      <c r="K20" s="2"/>
      <c r="L20" s="2">
        <f t="shared" si="0"/>
        <v>-48.87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--21.47</f>
        <v>21.47</v>
      </c>
      <c r="I21" s="2"/>
      <c r="J21" s="19"/>
      <c r="K21" s="2"/>
      <c r="L21" s="2">
        <f t="shared" si="0"/>
        <v>-21.47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--258.03</f>
        <v>258.02999999999997</v>
      </c>
      <c r="U21" s="2"/>
      <c r="V21" s="19"/>
      <c r="W21" s="2"/>
      <c r="X21" s="2">
        <f t="shared" si="2"/>
        <v>-258.02999999999997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--10773.55</f>
        <v>10773.55</v>
      </c>
      <c r="I22" s="2"/>
      <c r="J22" s="19"/>
      <c r="K22" s="2"/>
      <c r="L22" s="2">
        <f t="shared" si="0"/>
        <v>-10773.55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--32674.61</f>
        <v>32674.61</v>
      </c>
      <c r="U22" s="2"/>
      <c r="V22" s="19"/>
      <c r="W22" s="2"/>
      <c r="X22" s="2">
        <f t="shared" si="2"/>
        <v>-32674.61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--2807.8</f>
        <v>2807.8</v>
      </c>
      <c r="I23" s="2"/>
      <c r="J23" s="19"/>
      <c r="K23" s="2"/>
      <c r="L23" s="2">
        <f t="shared" si="0"/>
        <v>-2807.8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--12498.9</f>
        <v>12498.9</v>
      </c>
      <c r="U23" s="2"/>
      <c r="V23" s="19"/>
      <c r="W23" s="2"/>
      <c r="X23" s="2">
        <f t="shared" si="2"/>
        <v>-12498.9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--685.9</f>
        <v>685.9</v>
      </c>
      <c r="I24" s="2"/>
      <c r="J24" s="19"/>
      <c r="K24" s="2"/>
      <c r="L24" s="2">
        <f t="shared" si="0"/>
        <v>-685.9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--1238.16</f>
        <v>1238.1600000000001</v>
      </c>
      <c r="U24" s="2"/>
      <c r="V24" s="19"/>
      <c r="W24" s="2"/>
      <c r="X24" s="2">
        <f t="shared" si="2"/>
        <v>-1238.1600000000001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si="4"/>
        <v>0</v>
      </c>
      <c r="E25" s="2"/>
      <c r="F25" s="19"/>
      <c r="G25" s="2"/>
      <c r="H25" s="2">
        <f>--356.39</f>
        <v>356.39</v>
      </c>
      <c r="I25" s="2"/>
      <c r="J25" s="19"/>
      <c r="K25" s="2"/>
      <c r="L25" s="2">
        <f t="shared" si="0"/>
        <v>-356.39</v>
      </c>
      <c r="M25" s="2"/>
      <c r="N25" s="19">
        <f t="shared" si="1"/>
        <v>-1</v>
      </c>
      <c r="O25" s="11"/>
      <c r="P25" s="2">
        <f t="shared" si="5"/>
        <v>0</v>
      </c>
      <c r="Q25" s="2"/>
      <c r="R25" s="19"/>
      <c r="S25" s="2"/>
      <c r="T25" s="2">
        <f>--444.59</f>
        <v>444.59</v>
      </c>
      <c r="U25" s="2"/>
      <c r="V25" s="19"/>
      <c r="W25" s="2"/>
      <c r="X25" s="2">
        <f t="shared" si="2"/>
        <v>-444.59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--6.78</f>
        <v>6.78</v>
      </c>
      <c r="U26" s="2"/>
      <c r="V26" s="19"/>
      <c r="W26" s="2"/>
      <c r="X26" s="2">
        <f t="shared" si="2"/>
        <v>-6.78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 t="shared" si="4"/>
        <v>0</v>
      </c>
      <c r="E27" s="2"/>
      <c r="F27" s="19"/>
      <c r="G27" s="2"/>
      <c r="H27" s="2">
        <f>--78841.84</f>
        <v>78841.84</v>
      </c>
      <c r="I27" s="2"/>
      <c r="J27" s="19"/>
      <c r="K27" s="2"/>
      <c r="L27" s="2">
        <f t="shared" si="0"/>
        <v>-78841.84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--328420.19</f>
        <v>328420.19</v>
      </c>
      <c r="U27" s="2"/>
      <c r="V27" s="19"/>
      <c r="W27" s="2"/>
      <c r="X27" s="2">
        <f t="shared" si="2"/>
        <v>-328420.19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 t="shared" si="4"/>
        <v>0</v>
      </c>
      <c r="E28" s="2"/>
      <c r="F28" s="19"/>
      <c r="G28" s="2"/>
      <c r="H28" s="2">
        <f>--27724.06</f>
        <v>27724.06</v>
      </c>
      <c r="I28" s="2"/>
      <c r="J28" s="19"/>
      <c r="K28" s="2"/>
      <c r="L28" s="2">
        <f t="shared" si="0"/>
        <v>-27724.06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--131033.62</f>
        <v>131033.62</v>
      </c>
      <c r="U28" s="2"/>
      <c r="V28" s="19"/>
      <c r="W28" s="2"/>
      <c r="X28" s="2">
        <f t="shared" si="2"/>
        <v>-131033.62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 t="shared" si="4"/>
        <v>0</v>
      </c>
      <c r="E29" s="2"/>
      <c r="F29" s="19"/>
      <c r="G29" s="2"/>
      <c r="H29" s="2">
        <f>--8004.46</f>
        <v>8004.46</v>
      </c>
      <c r="I29" s="2"/>
      <c r="J29" s="19"/>
      <c r="K29" s="2"/>
      <c r="L29" s="2">
        <f t="shared" si="0"/>
        <v>-8004.46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--47929.5</f>
        <v>47929.5</v>
      </c>
      <c r="U29" s="2"/>
      <c r="V29" s="19"/>
      <c r="W29" s="2"/>
      <c r="X29" s="2">
        <f t="shared" si="2"/>
        <v>-47929.5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 t="shared" si="4"/>
        <v>0</v>
      </c>
      <c r="E30" s="2"/>
      <c r="F30" s="19"/>
      <c r="G30" s="2"/>
      <c r="H30" s="2">
        <f>--2805.53</f>
        <v>2805.53</v>
      </c>
      <c r="I30" s="2"/>
      <c r="J30" s="19"/>
      <c r="K30" s="2"/>
      <c r="L30" s="2">
        <f t="shared" si="0"/>
        <v>-2805.53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--9791.16</f>
        <v>9791.16</v>
      </c>
      <c r="U30" s="2"/>
      <c r="V30" s="19"/>
      <c r="W30" s="2"/>
      <c r="X30" s="2">
        <f t="shared" si="2"/>
        <v>-9791.16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 t="shared" si="4"/>
        <v>0</v>
      </c>
      <c r="E31" s="2"/>
      <c r="F31" s="19"/>
      <c r="G31" s="2"/>
      <c r="H31" s="2">
        <f>--2962.32</f>
        <v>2962.32</v>
      </c>
      <c r="I31" s="2"/>
      <c r="J31" s="19"/>
      <c r="K31" s="2"/>
      <c r="L31" s="2">
        <f t="shared" si="0"/>
        <v>-2962.32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--11331.52</f>
        <v>11331.52</v>
      </c>
      <c r="U31" s="2"/>
      <c r="V31" s="19"/>
      <c r="W31" s="2"/>
      <c r="X31" s="2">
        <f t="shared" si="2"/>
        <v>-11331.52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 t="shared" si="4"/>
        <v>0</v>
      </c>
      <c r="E32" s="2"/>
      <c r="F32" s="19"/>
      <c r="G32" s="2"/>
      <c r="H32" s="2">
        <f>--2575.36</f>
        <v>2575.36</v>
      </c>
      <c r="I32" s="2"/>
      <c r="J32" s="19"/>
      <c r="K32" s="2"/>
      <c r="L32" s="2">
        <f t="shared" si="0"/>
        <v>-2575.36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--92006.44</f>
        <v>92006.44</v>
      </c>
      <c r="U32" s="2"/>
      <c r="V32" s="19"/>
      <c r="W32" s="2"/>
      <c r="X32" s="2">
        <f t="shared" si="2"/>
        <v>-92006.44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"4053", " - ", "TAXABLE SALES-FOOD")</f>
        <v xml:space="preserve">          4053 - TAXABLE SALES-FOOD</v>
      </c>
      <c r="C33" s="11"/>
      <c r="D33" s="2">
        <f>--139.09</f>
        <v>139.09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139.09</v>
      </c>
      <c r="M33" s="2"/>
      <c r="N33" s="19">
        <f t="shared" si="1"/>
        <v>0</v>
      </c>
      <c r="O33" s="11"/>
      <c r="P33" s="2">
        <f>--139.09</f>
        <v>139.09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139.09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"4081", " - ", "TAXABLE SALES-ELECTRONICS")</f>
        <v xml:space="preserve">          4081 - TAXABLE SALES-ELECTRONICS</v>
      </c>
      <c r="C34" s="11"/>
      <c r="D34" s="2">
        <f t="shared" ref="D34:D35" si="6">0</f>
        <v>0</v>
      </c>
      <c r="E34" s="2"/>
      <c r="F34" s="19"/>
      <c r="G34" s="2"/>
      <c r="H34" s="2">
        <f>--71.95</f>
        <v>71.95</v>
      </c>
      <c r="I34" s="2"/>
      <c r="J34" s="19"/>
      <c r="K34" s="2"/>
      <c r="L34" s="2">
        <f t="shared" si="0"/>
        <v>-71.95</v>
      </c>
      <c r="M34" s="2"/>
      <c r="N34" s="19">
        <f t="shared" si="1"/>
        <v>-1</v>
      </c>
      <c r="O34" s="11"/>
      <c r="P34" s="2">
        <f t="shared" ref="P34:P35" si="7">0</f>
        <v>0</v>
      </c>
      <c r="Q34" s="2"/>
      <c r="R34" s="19"/>
      <c r="S34" s="2"/>
      <c r="T34" s="2">
        <f>--71.95</f>
        <v>71.95</v>
      </c>
      <c r="U34" s="2"/>
      <c r="V34" s="19"/>
      <c r="W34" s="2"/>
      <c r="X34" s="2">
        <f t="shared" si="2"/>
        <v>-71.95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"4083", " - ", "TAXABLE SALES-COMPUTER EQUIPME")</f>
        <v xml:space="preserve">          4083 - TAXABLE SALES-COMPUTER EQUIPME</v>
      </c>
      <c r="C35" s="11"/>
      <c r="D35" s="2">
        <f t="shared" si="6"/>
        <v>0</v>
      </c>
      <c r="E35" s="2"/>
      <c r="F35" s="19"/>
      <c r="G35" s="2"/>
      <c r="H35" s="2">
        <f>--9.99</f>
        <v>9.99</v>
      </c>
      <c r="I35" s="2"/>
      <c r="J35" s="19"/>
      <c r="K35" s="2"/>
      <c r="L35" s="2">
        <f t="shared" si="0"/>
        <v>-9.99</v>
      </c>
      <c r="M35" s="2"/>
      <c r="N35" s="19">
        <f t="shared" si="1"/>
        <v>-1</v>
      </c>
      <c r="O35" s="11"/>
      <c r="P35" s="2">
        <f t="shared" si="7"/>
        <v>0</v>
      </c>
      <c r="Q35" s="2"/>
      <c r="R35" s="19"/>
      <c r="S35" s="2"/>
      <c r="T35" s="2">
        <f>--9.99</f>
        <v>9.99</v>
      </c>
      <c r="U35" s="2"/>
      <c r="V35" s="19"/>
      <c r="W35" s="2"/>
      <c r="X35" s="2">
        <f t="shared" si="2"/>
        <v>-9.99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"4100", " - ", "NON-TAXABLE SALES")</f>
        <v xml:space="preserve">          4100 - NON-TAXABLE SALES</v>
      </c>
      <c r="C36" s="11"/>
      <c r="D36" s="2">
        <f>--134343.25</f>
        <v>134343.25</v>
      </c>
      <c r="E36" s="2"/>
      <c r="F36" s="19"/>
      <c r="G36" s="2"/>
      <c r="H36" s="2">
        <f>--10945.69</f>
        <v>10945.69</v>
      </c>
      <c r="I36" s="2"/>
      <c r="J36" s="19"/>
      <c r="K36" s="2"/>
      <c r="L36" s="2">
        <f t="shared" si="0"/>
        <v>123397.56</v>
      </c>
      <c r="M36" s="2"/>
      <c r="N36" s="19">
        <f t="shared" si="1"/>
        <v>11.27362094121065</v>
      </c>
      <c r="O36" s="11"/>
      <c r="P36" s="2">
        <f>--505543.48</f>
        <v>505543.48</v>
      </c>
      <c r="Q36" s="2"/>
      <c r="R36" s="19"/>
      <c r="S36" s="2"/>
      <c r="T36" s="2">
        <f>--164344.02</f>
        <v>164344.01999999999</v>
      </c>
      <c r="U36" s="2"/>
      <c r="V36" s="19"/>
      <c r="W36" s="2"/>
      <c r="X36" s="2">
        <f t="shared" si="2"/>
        <v>341199.45999999996</v>
      </c>
      <c r="Y36" s="2"/>
      <c r="Z36" s="19">
        <f t="shared" si="3"/>
        <v>2.0761294508920982</v>
      </c>
    </row>
    <row r="37" spans="1:26" s="24" customFormat="1" hidden="1" outlineLevel="1" x14ac:dyDescent="0.25">
      <c r="A37" s="44"/>
      <c r="B37" s="11" t="str">
        <f>CONCATENATE("          ", "4101", " - ", "NON-TAXABLE SALES-NEW TEXT")</f>
        <v xml:space="preserve">          4101 - NON-TAXABLE SALES-NEW TEXT</v>
      </c>
      <c r="C37" s="11"/>
      <c r="D37" s="2">
        <f t="shared" ref="D37:D49" si="8">0</f>
        <v>0</v>
      </c>
      <c r="E37" s="2"/>
      <c r="F37" s="19"/>
      <c r="G37" s="2"/>
      <c r="H37" s="2">
        <f>--18824.16</f>
        <v>18824.16</v>
      </c>
      <c r="I37" s="2"/>
      <c r="J37" s="19"/>
      <c r="K37" s="2"/>
      <c r="L37" s="2">
        <f t="shared" si="0"/>
        <v>-18824.16</v>
      </c>
      <c r="M37" s="2"/>
      <c r="N37" s="19">
        <f t="shared" si="1"/>
        <v>-1</v>
      </c>
      <c r="O37" s="11"/>
      <c r="P37" s="2">
        <f t="shared" ref="P37:P49" si="9">0</f>
        <v>0</v>
      </c>
      <c r="Q37" s="2"/>
      <c r="R37" s="19"/>
      <c r="S37" s="2"/>
      <c r="T37" s="2">
        <f>--70404.84</f>
        <v>70404.84</v>
      </c>
      <c r="U37" s="2"/>
      <c r="V37" s="19"/>
      <c r="W37" s="2"/>
      <c r="X37" s="2">
        <f t="shared" si="2"/>
        <v>-70404.84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"4102", " - ", "NON-TAXABLE SALES-USED TEXT")</f>
        <v xml:space="preserve">          4102 - NON-TAXABLE SALES-USED TEXT</v>
      </c>
      <c r="C38" s="11"/>
      <c r="D38" s="2">
        <f t="shared" si="8"/>
        <v>0</v>
      </c>
      <c r="E38" s="2"/>
      <c r="F38" s="19"/>
      <c r="G38" s="2"/>
      <c r="H38" s="2">
        <f>--8807.08</f>
        <v>8807.08</v>
      </c>
      <c r="I38" s="2"/>
      <c r="J38" s="19"/>
      <c r="K38" s="2"/>
      <c r="L38" s="2">
        <f t="shared" si="0"/>
        <v>-8807.08</v>
      </c>
      <c r="M38" s="2"/>
      <c r="N38" s="19">
        <f t="shared" si="1"/>
        <v>-1</v>
      </c>
      <c r="O38" s="11"/>
      <c r="P38" s="2">
        <f t="shared" si="9"/>
        <v>0</v>
      </c>
      <c r="Q38" s="2"/>
      <c r="R38" s="19"/>
      <c r="S38" s="2"/>
      <c r="T38" s="2">
        <f>--30370.82</f>
        <v>30370.82</v>
      </c>
      <c r="U38" s="2"/>
      <c r="V38" s="19"/>
      <c r="W38" s="2"/>
      <c r="X38" s="2">
        <f t="shared" si="2"/>
        <v>-30370.82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"4103", " - ", "NON-TAXABLE SALES-RENTAL TEXT")</f>
        <v xml:space="preserve">          4103 - NON-TAXABLE SALES-RENTAL TEXT</v>
      </c>
      <c r="C39" s="11"/>
      <c r="D39" s="2">
        <f t="shared" si="8"/>
        <v>0</v>
      </c>
      <c r="E39" s="2"/>
      <c r="F39" s="19"/>
      <c r="G39" s="2"/>
      <c r="H39" s="2">
        <f>--284.97</f>
        <v>284.97000000000003</v>
      </c>
      <c r="I39" s="2"/>
      <c r="J39" s="19"/>
      <c r="K39" s="2"/>
      <c r="L39" s="2">
        <f t="shared" si="0"/>
        <v>-284.97000000000003</v>
      </c>
      <c r="M39" s="2"/>
      <c r="N39" s="19">
        <f t="shared" si="1"/>
        <v>-1</v>
      </c>
      <c r="O39" s="11"/>
      <c r="P39" s="2">
        <f t="shared" si="9"/>
        <v>0</v>
      </c>
      <c r="Q39" s="2"/>
      <c r="R39" s="19"/>
      <c r="S39" s="2"/>
      <c r="T39" s="2">
        <f>--284.97</f>
        <v>284.97000000000003</v>
      </c>
      <c r="U39" s="2"/>
      <c r="V39" s="19"/>
      <c r="W39" s="2"/>
      <c r="X39" s="2">
        <f t="shared" si="2"/>
        <v>-284.97000000000003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"4104", " - ", "NON-TAXABLE SALES-DIGITAL TEXT")</f>
        <v xml:space="preserve">          4104 - NON-TAXABLE SALES-DIGITAL TEXT</v>
      </c>
      <c r="C40" s="11"/>
      <c r="D40" s="2">
        <f t="shared" si="8"/>
        <v>0</v>
      </c>
      <c r="E40" s="2"/>
      <c r="F40" s="19"/>
      <c r="G40" s="2"/>
      <c r="H40" s="2">
        <f>--73817.67</f>
        <v>73817.67</v>
      </c>
      <c r="I40" s="2"/>
      <c r="J40" s="19"/>
      <c r="K40" s="2"/>
      <c r="L40" s="2">
        <f t="shared" si="0"/>
        <v>-73817.67</v>
      </c>
      <c r="M40" s="2"/>
      <c r="N40" s="19">
        <f t="shared" si="1"/>
        <v>-1</v>
      </c>
      <c r="O40" s="11"/>
      <c r="P40" s="2">
        <f t="shared" si="9"/>
        <v>0</v>
      </c>
      <c r="Q40" s="2"/>
      <c r="R40" s="19"/>
      <c r="S40" s="2"/>
      <c r="T40" s="2">
        <f>--286707.85</f>
        <v>286707.84999999998</v>
      </c>
      <c r="U40" s="2"/>
      <c r="V40" s="19"/>
      <c r="W40" s="2"/>
      <c r="X40" s="2">
        <f t="shared" si="2"/>
        <v>-286707.84999999998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"4118", " - ", "NON-TAXABLE SALES-STUDY GUIDES")</f>
        <v xml:space="preserve">          4118 - NON-TAXABLE SALES-STUDY GUIDES</v>
      </c>
      <c r="C41" s="11"/>
      <c r="D41" s="2">
        <f t="shared" si="8"/>
        <v>0</v>
      </c>
      <c r="E41" s="2"/>
      <c r="F41" s="19"/>
      <c r="G41" s="2"/>
      <c r="H41" s="2">
        <f>--6.5</f>
        <v>6.5</v>
      </c>
      <c r="I41" s="2"/>
      <c r="J41" s="19"/>
      <c r="K41" s="2"/>
      <c r="L41" s="2">
        <f t="shared" si="0"/>
        <v>-6.5</v>
      </c>
      <c r="M41" s="2"/>
      <c r="N41" s="19">
        <f t="shared" si="1"/>
        <v>-1</v>
      </c>
      <c r="O41" s="11"/>
      <c r="P41" s="2">
        <f t="shared" si="9"/>
        <v>0</v>
      </c>
      <c r="Q41" s="2"/>
      <c r="R41" s="19"/>
      <c r="S41" s="2"/>
      <c r="T41" s="2">
        <f>--108.33</f>
        <v>108.33</v>
      </c>
      <c r="U41" s="2"/>
      <c r="V41" s="19"/>
      <c r="W41" s="2"/>
      <c r="X41" s="2">
        <f t="shared" si="2"/>
        <v>-108.33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"4126", " - ", "NON-TAXABLE SALES-WRITING INST")</f>
        <v xml:space="preserve">          4126 - NON-TAXABLE SALES-WRITING INST</v>
      </c>
      <c r="C42" s="11"/>
      <c r="D42" s="2">
        <f t="shared" si="8"/>
        <v>0</v>
      </c>
      <c r="E42" s="2"/>
      <c r="F42" s="19"/>
      <c r="G42" s="2"/>
      <c r="H42" s="2">
        <f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 t="shared" si="9"/>
        <v>0</v>
      </c>
      <c r="Q42" s="2"/>
      <c r="R42" s="19"/>
      <c r="S42" s="2"/>
      <c r="T42" s="2">
        <f>--52.68</f>
        <v>52.68</v>
      </c>
      <c r="U42" s="2"/>
      <c r="V42" s="19"/>
      <c r="W42" s="2"/>
      <c r="X42" s="2">
        <f t="shared" si="2"/>
        <v>-52.68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"4127", " - ", "NON-TAXABLE SALES-SCHOOL SUPPL")</f>
        <v xml:space="preserve">          4127 - NON-TAXABLE SALES-SCHOOL SUPPL</v>
      </c>
      <c r="C43" s="11"/>
      <c r="D43" s="2">
        <f t="shared" si="8"/>
        <v>0</v>
      </c>
      <c r="E43" s="2"/>
      <c r="F43" s="19"/>
      <c r="G43" s="2"/>
      <c r="H43" s="2">
        <f>--810.33</f>
        <v>810.33</v>
      </c>
      <c r="I43" s="2"/>
      <c r="J43" s="19"/>
      <c r="K43" s="2"/>
      <c r="L43" s="2">
        <f t="shared" si="0"/>
        <v>-810.33</v>
      </c>
      <c r="M43" s="2"/>
      <c r="N43" s="19">
        <f t="shared" si="1"/>
        <v>-1</v>
      </c>
      <c r="O43" s="11"/>
      <c r="P43" s="2">
        <f t="shared" si="9"/>
        <v>0</v>
      </c>
      <c r="Q43" s="2"/>
      <c r="R43" s="19"/>
      <c r="S43" s="2"/>
      <c r="T43" s="2">
        <f>--2670.74</f>
        <v>2670.74</v>
      </c>
      <c r="U43" s="2"/>
      <c r="V43" s="19"/>
      <c r="W43" s="2"/>
      <c r="X43" s="2">
        <f t="shared" si="2"/>
        <v>-2670.74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"4131", " - ", "NON-TAXABLE SALES-FOOD")</f>
        <v xml:space="preserve">          4131 - NON-TAXABLE SALES-FOOD</v>
      </c>
      <c r="C44" s="11"/>
      <c r="D44" s="2">
        <f t="shared" si="8"/>
        <v>0</v>
      </c>
      <c r="E44" s="2"/>
      <c r="F44" s="19"/>
      <c r="G44" s="2"/>
      <c r="H44" s="2">
        <f>--2168.74</f>
        <v>2168.7399999999998</v>
      </c>
      <c r="I44" s="2"/>
      <c r="J44" s="19"/>
      <c r="K44" s="2"/>
      <c r="L44" s="2">
        <f t="shared" si="0"/>
        <v>-2168.7399999999998</v>
      </c>
      <c r="M44" s="2"/>
      <c r="N44" s="19">
        <f t="shared" si="1"/>
        <v>-1</v>
      </c>
      <c r="O44" s="11"/>
      <c r="P44" s="2">
        <f t="shared" si="9"/>
        <v>0</v>
      </c>
      <c r="Q44" s="2"/>
      <c r="R44" s="19"/>
      <c r="S44" s="2"/>
      <c r="T44" s="2">
        <f>--4003.96</f>
        <v>4003.96</v>
      </c>
      <c r="U44" s="2"/>
      <c r="V44" s="19"/>
      <c r="W44" s="2"/>
      <c r="X44" s="2">
        <f t="shared" si="2"/>
        <v>-4003.96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"4132", " - ", "NON-TAXABLE SALES-JUICE")</f>
        <v xml:space="preserve">          4132 - NON-TAXABLE SALES-JUICE</v>
      </c>
      <c r="C45" s="11"/>
      <c r="D45" s="2">
        <f t="shared" si="8"/>
        <v>0</v>
      </c>
      <c r="E45" s="2"/>
      <c r="F45" s="19"/>
      <c r="G45" s="2"/>
      <c r="H45" s="2">
        <f>--1406.08</f>
        <v>1406.08</v>
      </c>
      <c r="I45" s="2"/>
      <c r="J45" s="19"/>
      <c r="K45" s="2"/>
      <c r="L45" s="2">
        <f t="shared" si="0"/>
        <v>-1406.08</v>
      </c>
      <c r="M45" s="2"/>
      <c r="N45" s="19">
        <f t="shared" si="1"/>
        <v>-1</v>
      </c>
      <c r="O45" s="11"/>
      <c r="P45" s="2">
        <f t="shared" si="9"/>
        <v>0</v>
      </c>
      <c r="Q45" s="2"/>
      <c r="R45" s="19"/>
      <c r="S45" s="2"/>
      <c r="T45" s="2">
        <f>--2054.37</f>
        <v>2054.37</v>
      </c>
      <c r="U45" s="2"/>
      <c r="V45" s="19"/>
      <c r="W45" s="2"/>
      <c r="X45" s="2">
        <f t="shared" si="2"/>
        <v>-2054.37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"4133", " - ", "NON-TAXABLE SALES-CANDY")</f>
        <v xml:space="preserve">          4133 - NON-TAXABLE SALES-CANDY</v>
      </c>
      <c r="C46" s="11"/>
      <c r="D46" s="2">
        <f t="shared" si="8"/>
        <v>0</v>
      </c>
      <c r="E46" s="2"/>
      <c r="F46" s="19"/>
      <c r="G46" s="2"/>
      <c r="H46" s="2">
        <f t="shared" ref="H46:H48" si="10">0</f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si="9"/>
        <v>0</v>
      </c>
      <c r="Q46" s="2"/>
      <c r="R46" s="19"/>
      <c r="S46" s="2"/>
      <c r="T46" s="2">
        <f>--80.71</f>
        <v>80.709999999999994</v>
      </c>
      <c r="U46" s="2"/>
      <c r="V46" s="19"/>
      <c r="W46" s="2"/>
      <c r="X46" s="2">
        <f t="shared" si="2"/>
        <v>-80.709999999999994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"4134", " - ", "NON-TAXABLE SALES-SODA")</f>
        <v xml:space="preserve">          4134 - NON-TAXABLE SALES-SODA</v>
      </c>
      <c r="C47" s="11"/>
      <c r="D47" s="2">
        <f t="shared" si="8"/>
        <v>0</v>
      </c>
      <c r="E47" s="2"/>
      <c r="F47" s="19"/>
      <c r="G47" s="2"/>
      <c r="H47" s="2">
        <f t="shared" si="10"/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9"/>
        <v>0</v>
      </c>
      <c r="Q47" s="2"/>
      <c r="R47" s="19"/>
      <c r="S47" s="2"/>
      <c r="T47" s="2">
        <f>--45.53</f>
        <v>45.53</v>
      </c>
      <c r="U47" s="2"/>
      <c r="V47" s="19"/>
      <c r="W47" s="2"/>
      <c r="X47" s="2">
        <f t="shared" si="2"/>
        <v>-45.53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"4137", " - ", "NON-TAXABLE SALES-WATER")</f>
        <v xml:space="preserve">          4137 - NON-TAXABLE SALES-WATER</v>
      </c>
      <c r="C48" s="11"/>
      <c r="D48" s="2">
        <f t="shared" si="8"/>
        <v>0</v>
      </c>
      <c r="E48" s="2"/>
      <c r="F48" s="19"/>
      <c r="G48" s="2"/>
      <c r="H48" s="2">
        <f t="shared" si="10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9"/>
        <v>0</v>
      </c>
      <c r="Q48" s="2"/>
      <c r="R48" s="19"/>
      <c r="S48" s="2"/>
      <c r="T48" s="2">
        <f>--68.25</f>
        <v>68.25</v>
      </c>
      <c r="U48" s="2"/>
      <c r="V48" s="19"/>
      <c r="W48" s="2"/>
      <c r="X48" s="2">
        <f t="shared" si="2"/>
        <v>-68.25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"4140", " - ", "NON-TAXABLE SALES-LOGO CLOTHIN")</f>
        <v xml:space="preserve">          4140 - NON-TAXABLE SALES-LOGO CLOTHIN</v>
      </c>
      <c r="C49" s="11"/>
      <c r="D49" s="2">
        <f t="shared" si="8"/>
        <v>0</v>
      </c>
      <c r="E49" s="2"/>
      <c r="F49" s="19"/>
      <c r="G49" s="2"/>
      <c r="H49" s="2">
        <f>--3339.7</f>
        <v>3339.7</v>
      </c>
      <c r="I49" s="2"/>
      <c r="J49" s="19"/>
      <c r="K49" s="2"/>
      <c r="L49" s="2">
        <f t="shared" si="0"/>
        <v>-3339.7</v>
      </c>
      <c r="M49" s="2"/>
      <c r="N49" s="19">
        <f t="shared" si="1"/>
        <v>-1</v>
      </c>
      <c r="O49" s="11"/>
      <c r="P49" s="2">
        <f t="shared" si="9"/>
        <v>0</v>
      </c>
      <c r="Q49" s="2"/>
      <c r="R49" s="19"/>
      <c r="S49" s="2"/>
      <c r="T49" s="2">
        <f>--17452.44</f>
        <v>17452.439999999999</v>
      </c>
      <c r="U49" s="2"/>
      <c r="V49" s="19"/>
      <c r="W49" s="2"/>
      <c r="X49" s="2">
        <f t="shared" si="2"/>
        <v>-17452.439999999999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"4141", " - ", "NON-TAXABLE SALES-LOGO GIFTS")</f>
        <v xml:space="preserve">          4141 - NON-TAXABLE SALES-LOGO GIFTS</v>
      </c>
      <c r="C50" s="11"/>
      <c r="D50" s="2">
        <f>--71.05</f>
        <v>71.05</v>
      </c>
      <c r="E50" s="2"/>
      <c r="F50" s="19"/>
      <c r="G50" s="2"/>
      <c r="H50" s="2">
        <f>--555.74</f>
        <v>555.74</v>
      </c>
      <c r="I50" s="2"/>
      <c r="J50" s="19"/>
      <c r="K50" s="2"/>
      <c r="L50" s="2">
        <f t="shared" si="0"/>
        <v>-484.69</v>
      </c>
      <c r="M50" s="2"/>
      <c r="N50" s="19">
        <f t="shared" si="1"/>
        <v>-0.87215244538813108</v>
      </c>
      <c r="O50" s="11"/>
      <c r="P50" s="2">
        <f>--460.55</f>
        <v>460.55</v>
      </c>
      <c r="Q50" s="2"/>
      <c r="R50" s="19"/>
      <c r="S50" s="2"/>
      <c r="T50" s="2">
        <f>--2944.99</f>
        <v>2944.99</v>
      </c>
      <c r="U50" s="2"/>
      <c r="V50" s="19"/>
      <c r="W50" s="2"/>
      <c r="X50" s="2">
        <f t="shared" si="2"/>
        <v>-2484.4399999999996</v>
      </c>
      <c r="Y50" s="2"/>
      <c r="Z50" s="19">
        <f t="shared" si="3"/>
        <v>-0.84361576779547631</v>
      </c>
    </row>
    <row r="51" spans="1:26" s="24" customFormat="1" hidden="1" outlineLevel="1" x14ac:dyDescent="0.25">
      <c r="A51" s="44"/>
      <c r="B51" s="11" t="str">
        <f>CONCATENATE("          ", "4142", " - ", "NON-TAXABLE SALES-EVERYDAY GIF")</f>
        <v xml:space="preserve">          4142 - NON-TAXABLE SALES-EVERYDAY GIF</v>
      </c>
      <c r="C51" s="11"/>
      <c r="D51" s="2">
        <f t="shared" ref="D51:D54" si="11">0</f>
        <v>0</v>
      </c>
      <c r="E51" s="2"/>
      <c r="F51" s="19"/>
      <c r="G51" s="2"/>
      <c r="H51" s="2">
        <f>--30.16</f>
        <v>30.16</v>
      </c>
      <c r="I51" s="2"/>
      <c r="J51" s="19"/>
      <c r="K51" s="2"/>
      <c r="L51" s="2">
        <f t="shared" si="0"/>
        <v>-30.16</v>
      </c>
      <c r="M51" s="2"/>
      <c r="N51" s="19">
        <f t="shared" si="1"/>
        <v>-1</v>
      </c>
      <c r="O51" s="11"/>
      <c r="P51" s="2">
        <f t="shared" ref="P51:P54" si="12">0</f>
        <v>0</v>
      </c>
      <c r="Q51" s="2"/>
      <c r="R51" s="19"/>
      <c r="S51" s="2"/>
      <c r="T51" s="2">
        <f>--1009.73</f>
        <v>1009.73</v>
      </c>
      <c r="U51" s="2"/>
      <c r="V51" s="19"/>
      <c r="W51" s="2"/>
      <c r="X51" s="2">
        <f t="shared" si="2"/>
        <v>-1009.73</v>
      </c>
      <c r="Y51" s="2"/>
      <c r="Z51" s="19">
        <f t="shared" si="3"/>
        <v>-1</v>
      </c>
    </row>
    <row r="52" spans="1:26" s="24" customFormat="1" hidden="1" outlineLevel="1" x14ac:dyDescent="0.25">
      <c r="A52" s="44"/>
      <c r="B52" s="11" t="str">
        <f>CONCATENATE("          ", "4143", " - ", "NON-TAXABLE SALES-CARDS")</f>
        <v xml:space="preserve">          4143 - NON-TAXABLE SALES-CARDS</v>
      </c>
      <c r="C52" s="11"/>
      <c r="D52" s="2">
        <f t="shared" si="11"/>
        <v>0</v>
      </c>
      <c r="E52" s="2"/>
      <c r="F52" s="19"/>
      <c r="G52" s="2"/>
      <c r="H52" s="2">
        <f>0</f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 t="shared" si="12"/>
        <v>0</v>
      </c>
      <c r="Q52" s="2"/>
      <c r="R52" s="19"/>
      <c r="S52" s="2"/>
      <c r="T52" s="2">
        <f>--19.98</f>
        <v>19.98</v>
      </c>
      <c r="U52" s="2"/>
      <c r="V52" s="19"/>
      <c r="W52" s="2"/>
      <c r="X52" s="2">
        <f t="shared" si="2"/>
        <v>-19.98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"4144", " - ", "NON-TAXABLE SALES-ACCESSORIES")</f>
        <v xml:space="preserve">          4144 - NON-TAXABLE SALES-ACCESSORIES</v>
      </c>
      <c r="C53" s="11"/>
      <c r="D53" s="2">
        <f t="shared" si="11"/>
        <v>0</v>
      </c>
      <c r="E53" s="2"/>
      <c r="F53" s="19"/>
      <c r="G53" s="2"/>
      <c r="H53" s="2">
        <f>--59.95</f>
        <v>59.95</v>
      </c>
      <c r="I53" s="2"/>
      <c r="J53" s="19"/>
      <c r="K53" s="2"/>
      <c r="L53" s="2">
        <f t="shared" si="0"/>
        <v>-59.95</v>
      </c>
      <c r="M53" s="2"/>
      <c r="N53" s="19">
        <f t="shared" si="1"/>
        <v>-1</v>
      </c>
      <c r="O53" s="11"/>
      <c r="P53" s="2">
        <f t="shared" si="12"/>
        <v>0</v>
      </c>
      <c r="Q53" s="2"/>
      <c r="R53" s="19"/>
      <c r="S53" s="2"/>
      <c r="T53" s="2">
        <f>--215.75</f>
        <v>215.75</v>
      </c>
      <c r="U53" s="2"/>
      <c r="V53" s="19"/>
      <c r="W53" s="2"/>
      <c r="X53" s="2">
        <f t="shared" si="2"/>
        <v>-215.75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"4145", " - ", "NON-TAXABLE SALES-SPECIAL ORDE")</f>
        <v xml:space="preserve">          4145 - NON-TAXABLE SALES-SPECIAL ORDE</v>
      </c>
      <c r="C54" s="11"/>
      <c r="D54" s="2">
        <f t="shared" si="11"/>
        <v>0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 t="shared" si="12"/>
        <v>0</v>
      </c>
      <c r="Q54" s="2"/>
      <c r="R54" s="19"/>
      <c r="S54" s="2"/>
      <c r="T54" s="2">
        <f>--35846</f>
        <v>35846</v>
      </c>
      <c r="U54" s="2"/>
      <c r="V54" s="19"/>
      <c r="W54" s="2"/>
      <c r="X54" s="2">
        <f t="shared" si="2"/>
        <v>-35846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"4146", " - ", "NON-TAXABLE SALES-COIN OP MACH")</f>
        <v xml:space="preserve">          4146 - NON-TAXABLE SALES-COIN OP MACH</v>
      </c>
      <c r="C55" s="11"/>
      <c r="D55" s="2">
        <f>--4759.35</f>
        <v>4759.3500000000004</v>
      </c>
      <c r="E55" s="2"/>
      <c r="F55" s="19"/>
      <c r="G55" s="2"/>
      <c r="H55" s="2">
        <f>--49.7</f>
        <v>49.7</v>
      </c>
      <c r="I55" s="2"/>
      <c r="J55" s="19"/>
      <c r="K55" s="2"/>
      <c r="L55" s="2">
        <f t="shared" si="0"/>
        <v>4709.6500000000005</v>
      </c>
      <c r="M55" s="2"/>
      <c r="N55" s="19">
        <f t="shared" si="1"/>
        <v>94.761569416499</v>
      </c>
      <c r="O55" s="11"/>
      <c r="P55" s="2">
        <f>--7492.95</f>
        <v>7492.95</v>
      </c>
      <c r="Q55" s="2"/>
      <c r="R55" s="19"/>
      <c r="S55" s="2"/>
      <c r="T55" s="2">
        <f>--65.2</f>
        <v>65.2</v>
      </c>
      <c r="U55" s="2"/>
      <c r="V55" s="19"/>
      <c r="W55" s="2"/>
      <c r="X55" s="2">
        <f t="shared" si="2"/>
        <v>7427.75</v>
      </c>
      <c r="Y55" s="2"/>
      <c r="Z55" s="19">
        <f t="shared" si="3"/>
        <v>113.92254601226993</v>
      </c>
    </row>
    <row r="56" spans="1:26" s="24" customFormat="1" hidden="1" outlineLevel="1" x14ac:dyDescent="0.25">
      <c r="A56" s="44"/>
      <c r="B56" s="11" t="str">
        <f>CONCATENATE("          ", "4147", " - ", "NON-TAXABLE SALES-MISC")</f>
        <v xml:space="preserve">          4147 - NON-TAXABLE SALES-MISC</v>
      </c>
      <c r="C56" s="11"/>
      <c r="D56" s="2">
        <f>0</f>
        <v>0</v>
      </c>
      <c r="E56" s="2"/>
      <c r="F56" s="19"/>
      <c r="G56" s="2"/>
      <c r="H56" s="2">
        <f>--24</f>
        <v>24</v>
      </c>
      <c r="I56" s="2"/>
      <c r="J56" s="19"/>
      <c r="K56" s="2"/>
      <c r="L56" s="2">
        <f t="shared" si="0"/>
        <v>-24</v>
      </c>
      <c r="M56" s="2"/>
      <c r="N56" s="19">
        <f t="shared" si="1"/>
        <v>-1</v>
      </c>
      <c r="O56" s="11"/>
      <c r="P56" s="2">
        <f t="shared" ref="P56:P57" si="13">0</f>
        <v>0</v>
      </c>
      <c r="Q56" s="2"/>
      <c r="R56" s="19"/>
      <c r="S56" s="2"/>
      <c r="T56" s="2">
        <f>--48</f>
        <v>48</v>
      </c>
      <c r="U56" s="2"/>
      <c r="V56" s="19"/>
      <c r="W56" s="2"/>
      <c r="X56" s="2">
        <f t="shared" si="2"/>
        <v>-48</v>
      </c>
      <c r="Y56" s="2"/>
      <c r="Z56" s="19">
        <f t="shared" si="3"/>
        <v>-1</v>
      </c>
    </row>
    <row r="57" spans="1:26" s="24" customFormat="1" hidden="1" outlineLevel="1" x14ac:dyDescent="0.25">
      <c r="A57" s="44"/>
      <c r="B57" s="11" t="str">
        <f>CONCATENATE("          ", "4153", " - ", "NON-TAXABLE SALES-FOOD")</f>
        <v xml:space="preserve">          4153 - NON-TAXABLE SALES-FOOD</v>
      </c>
      <c r="C57" s="11"/>
      <c r="D57" s="2">
        <f>-130.35</f>
        <v>-130.35</v>
      </c>
      <c r="E57" s="2"/>
      <c r="F57" s="19"/>
      <c r="G57" s="2"/>
      <c r="H57" s="2">
        <f t="shared" ref="H57:H58" si="14">0</f>
        <v>0</v>
      </c>
      <c r="I57" s="2"/>
      <c r="J57" s="19"/>
      <c r="K57" s="2"/>
      <c r="L57" s="2">
        <f t="shared" si="0"/>
        <v>-130.35</v>
      </c>
      <c r="M57" s="2"/>
      <c r="N57" s="19">
        <f t="shared" si="1"/>
        <v>0</v>
      </c>
      <c r="O57" s="11"/>
      <c r="P57" s="2">
        <f t="shared" si="13"/>
        <v>0</v>
      </c>
      <c r="Q57" s="2"/>
      <c r="R57" s="19"/>
      <c r="S57" s="2"/>
      <c r="T57" s="2">
        <f>--110</f>
        <v>110</v>
      </c>
      <c r="U57" s="2"/>
      <c r="V57" s="19"/>
      <c r="W57" s="2"/>
      <c r="X57" s="2">
        <f t="shared" si="2"/>
        <v>-110</v>
      </c>
      <c r="Y57" s="2"/>
      <c r="Z57" s="19">
        <f t="shared" si="3"/>
        <v>-1</v>
      </c>
    </row>
    <row r="58" spans="1:26" s="24" customFormat="1" hidden="1" outlineLevel="1" x14ac:dyDescent="0.25">
      <c r="A58" s="44"/>
      <c r="B58" s="11" t="str">
        <f>CONCATENATE("          ", "4200", " - ", "TAXABLE RETURNS")</f>
        <v xml:space="preserve">          4200 - TAXABLE RETURNS</v>
      </c>
      <c r="C58" s="11"/>
      <c r="D58" s="2">
        <f>-22646.07</f>
        <v>-22646.07</v>
      </c>
      <c r="E58" s="2"/>
      <c r="F58" s="19"/>
      <c r="G58" s="2"/>
      <c r="H58" s="2">
        <f t="shared" si="14"/>
        <v>0</v>
      </c>
      <c r="I58" s="2"/>
      <c r="J58" s="19"/>
      <c r="K58" s="2"/>
      <c r="L58" s="2">
        <f t="shared" si="0"/>
        <v>-22646.07</v>
      </c>
      <c r="M58" s="2"/>
      <c r="N58" s="19">
        <f t="shared" si="1"/>
        <v>0</v>
      </c>
      <c r="O58" s="11"/>
      <c r="P58" s="2">
        <f>-48452.91</f>
        <v>-48452.91</v>
      </c>
      <c r="Q58" s="2"/>
      <c r="R58" s="19"/>
      <c r="S58" s="2"/>
      <c r="T58" s="2">
        <f>0</f>
        <v>0</v>
      </c>
      <c r="U58" s="2"/>
      <c r="V58" s="19"/>
      <c r="W58" s="2"/>
      <c r="X58" s="2">
        <f t="shared" si="2"/>
        <v>-48452.91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"4201", " - ", "SALES RETURN TAXABLE-NEW TEXT")</f>
        <v xml:space="preserve">          4201 - SALES RETURN TAXABLE-NEW TEXT</v>
      </c>
      <c r="C59" s="11"/>
      <c r="D59" s="2">
        <f t="shared" ref="D59:D70" si="15">0</f>
        <v>0</v>
      </c>
      <c r="E59" s="2"/>
      <c r="F59" s="19"/>
      <c r="G59" s="2"/>
      <c r="H59" s="2">
        <f>-13393.2</f>
        <v>-13393.2</v>
      </c>
      <c r="I59" s="2"/>
      <c r="J59" s="19"/>
      <c r="K59" s="2"/>
      <c r="L59" s="2">
        <f t="shared" si="0"/>
        <v>13393.2</v>
      </c>
      <c r="M59" s="2"/>
      <c r="N59" s="19">
        <f t="shared" si="1"/>
        <v>-1</v>
      </c>
      <c r="O59" s="11"/>
      <c r="P59" s="2">
        <f t="shared" ref="P59:P70" si="16">0</f>
        <v>0</v>
      </c>
      <c r="Q59" s="2"/>
      <c r="R59" s="19"/>
      <c r="S59" s="2"/>
      <c r="T59" s="2">
        <f>-32248.99</f>
        <v>-32248.99</v>
      </c>
      <c r="U59" s="2"/>
      <c r="V59" s="19"/>
      <c r="W59" s="2"/>
      <c r="X59" s="2">
        <f t="shared" si="2"/>
        <v>32248.99</v>
      </c>
      <c r="Y59" s="2"/>
      <c r="Z59" s="19">
        <f t="shared" si="3"/>
        <v>-1</v>
      </c>
    </row>
    <row r="60" spans="1:26" s="24" customFormat="1" hidden="1" outlineLevel="1" x14ac:dyDescent="0.25">
      <c r="A60" s="44"/>
      <c r="B60" s="11" t="str">
        <f>CONCATENATE("          ", "4202", " - ", "SALES RETURN TAXABLE-USED TEXT")</f>
        <v xml:space="preserve">          4202 - SALES RETURN TAXABLE-USED TEXT</v>
      </c>
      <c r="C60" s="11"/>
      <c r="D60" s="2">
        <f t="shared" si="15"/>
        <v>0</v>
      </c>
      <c r="E60" s="2"/>
      <c r="F60" s="19"/>
      <c r="G60" s="2"/>
      <c r="H60" s="2">
        <f>-1345.2</f>
        <v>-1345.2</v>
      </c>
      <c r="I60" s="2"/>
      <c r="J60" s="19"/>
      <c r="K60" s="2"/>
      <c r="L60" s="2">
        <f t="shared" si="0"/>
        <v>1345.2</v>
      </c>
      <c r="M60" s="2"/>
      <c r="N60" s="19">
        <f t="shared" si="1"/>
        <v>-1</v>
      </c>
      <c r="O60" s="11"/>
      <c r="P60" s="2">
        <f t="shared" si="16"/>
        <v>0</v>
      </c>
      <c r="Q60" s="2"/>
      <c r="R60" s="19"/>
      <c r="S60" s="2"/>
      <c r="T60" s="2">
        <f>-10392.95</f>
        <v>-10392.950000000001</v>
      </c>
      <c r="U60" s="2"/>
      <c r="V60" s="19"/>
      <c r="W60" s="2"/>
      <c r="X60" s="2">
        <f t="shared" si="2"/>
        <v>10392.950000000001</v>
      </c>
      <c r="Y60" s="2"/>
      <c r="Z60" s="19">
        <f t="shared" si="3"/>
        <v>-1</v>
      </c>
    </row>
    <row r="61" spans="1:26" s="24" customFormat="1" hidden="1" outlineLevel="1" x14ac:dyDescent="0.25">
      <c r="A61" s="44"/>
      <c r="B61" s="11" t="str">
        <f>CONCATENATE("          ", "4204", " - ", "SALES RETURN TAXABLE-DIGITAL T")</f>
        <v xml:space="preserve">          4204 - SALES RETURN TAXABLE-DIGITAL T</v>
      </c>
      <c r="C61" s="11"/>
      <c r="D61" s="2">
        <f t="shared" si="15"/>
        <v>0</v>
      </c>
      <c r="E61" s="2"/>
      <c r="F61" s="19"/>
      <c r="G61" s="2"/>
      <c r="H61" s="2">
        <f>-105.87</f>
        <v>-105.87</v>
      </c>
      <c r="I61" s="2"/>
      <c r="J61" s="19"/>
      <c r="K61" s="2"/>
      <c r="L61" s="2">
        <f t="shared" si="0"/>
        <v>105.87</v>
      </c>
      <c r="M61" s="2"/>
      <c r="N61" s="19">
        <f t="shared" si="1"/>
        <v>-1</v>
      </c>
      <c r="O61" s="11"/>
      <c r="P61" s="2">
        <f t="shared" si="16"/>
        <v>0</v>
      </c>
      <c r="Q61" s="2"/>
      <c r="R61" s="19"/>
      <c r="S61" s="2"/>
      <c r="T61" s="2">
        <f>-1246.95</f>
        <v>-1246.95</v>
      </c>
      <c r="U61" s="2"/>
      <c r="V61" s="19"/>
      <c r="W61" s="2"/>
      <c r="X61" s="2">
        <f t="shared" si="2"/>
        <v>1246.95</v>
      </c>
      <c r="Y61" s="2"/>
      <c r="Z61" s="19">
        <f t="shared" si="3"/>
        <v>-1</v>
      </c>
    </row>
    <row r="62" spans="1:26" s="24" customFormat="1" hidden="1" outlineLevel="1" x14ac:dyDescent="0.25">
      <c r="A62" s="44"/>
      <c r="B62" s="11" t="str">
        <f>CONCATENATE("          ", "4226", " - ", "SALES RETURN TAXABLE-WRITING I")</f>
        <v xml:space="preserve">          4226 - SALES RETURN TAXABLE-WRITING I</v>
      </c>
      <c r="C62" s="11"/>
      <c r="D62" s="2">
        <f t="shared" si="15"/>
        <v>0</v>
      </c>
      <c r="E62" s="2"/>
      <c r="F62" s="19"/>
      <c r="G62" s="2"/>
      <c r="H62" s="2">
        <f>-22.49</f>
        <v>-22.49</v>
      </c>
      <c r="I62" s="2"/>
      <c r="J62" s="19"/>
      <c r="K62" s="2"/>
      <c r="L62" s="2">
        <f t="shared" si="0"/>
        <v>22.49</v>
      </c>
      <c r="M62" s="2"/>
      <c r="N62" s="19">
        <f t="shared" si="1"/>
        <v>-1</v>
      </c>
      <c r="O62" s="11"/>
      <c r="P62" s="2">
        <f t="shared" si="16"/>
        <v>0</v>
      </c>
      <c r="Q62" s="2"/>
      <c r="R62" s="19"/>
      <c r="S62" s="2"/>
      <c r="T62" s="2">
        <f>-28.87</f>
        <v>-28.87</v>
      </c>
      <c r="U62" s="2"/>
      <c r="V62" s="19"/>
      <c r="W62" s="2"/>
      <c r="X62" s="2">
        <f t="shared" si="2"/>
        <v>28.87</v>
      </c>
      <c r="Y62" s="2"/>
      <c r="Z62" s="19">
        <f t="shared" si="3"/>
        <v>-1</v>
      </c>
    </row>
    <row r="63" spans="1:26" s="24" customFormat="1" hidden="1" outlineLevel="1" x14ac:dyDescent="0.25">
      <c r="A63" s="44"/>
      <c r="B63" s="11" t="str">
        <f>CONCATENATE("          ", "4227", " - ", "SALES RETURN TAXABLE-SCHOOL SU")</f>
        <v xml:space="preserve">          4227 - SALES RETURN TAXABLE-SCHOOL SU</v>
      </c>
      <c r="C63" s="11"/>
      <c r="D63" s="2">
        <f t="shared" si="15"/>
        <v>0</v>
      </c>
      <c r="E63" s="2"/>
      <c r="F63" s="19"/>
      <c r="G63" s="2"/>
      <c r="H63" s="2">
        <f>-152.29</f>
        <v>-152.29</v>
      </c>
      <c r="I63" s="2"/>
      <c r="J63" s="19"/>
      <c r="K63" s="2"/>
      <c r="L63" s="2">
        <f t="shared" si="0"/>
        <v>152.29</v>
      </c>
      <c r="M63" s="2"/>
      <c r="N63" s="19">
        <f t="shared" si="1"/>
        <v>-1</v>
      </c>
      <c r="O63" s="11"/>
      <c r="P63" s="2">
        <f t="shared" si="16"/>
        <v>0</v>
      </c>
      <c r="Q63" s="2"/>
      <c r="R63" s="19"/>
      <c r="S63" s="2"/>
      <c r="T63" s="2">
        <f>-568.67</f>
        <v>-568.66999999999996</v>
      </c>
      <c r="U63" s="2"/>
      <c r="V63" s="19"/>
      <c r="W63" s="2"/>
      <c r="X63" s="2">
        <f t="shared" si="2"/>
        <v>568.66999999999996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"4228", " - ", "SALES RETURN TAXABLE-ART/TECH")</f>
        <v xml:space="preserve">          4228 - SALES RETURN TAXABLE-ART/TECH</v>
      </c>
      <c r="C64" s="11"/>
      <c r="D64" s="2">
        <f t="shared" si="15"/>
        <v>0</v>
      </c>
      <c r="E64" s="2"/>
      <c r="F64" s="19"/>
      <c r="G64" s="2"/>
      <c r="H64" s="2">
        <f>-57.76</f>
        <v>-57.76</v>
      </c>
      <c r="I64" s="2"/>
      <c r="J64" s="19"/>
      <c r="K64" s="2"/>
      <c r="L64" s="2">
        <f t="shared" si="0"/>
        <v>57.76</v>
      </c>
      <c r="M64" s="2"/>
      <c r="N64" s="19">
        <f t="shared" si="1"/>
        <v>-1</v>
      </c>
      <c r="O64" s="11"/>
      <c r="P64" s="2">
        <f t="shared" si="16"/>
        <v>0</v>
      </c>
      <c r="Q64" s="2"/>
      <c r="R64" s="19"/>
      <c r="S64" s="2"/>
      <c r="T64" s="2">
        <f>-222.2</f>
        <v>-222.2</v>
      </c>
      <c r="U64" s="2"/>
      <c r="V64" s="19"/>
      <c r="W64" s="2"/>
      <c r="X64" s="2">
        <f t="shared" si="2"/>
        <v>222.2</v>
      </c>
      <c r="Y64" s="2"/>
      <c r="Z64" s="19">
        <f t="shared" si="3"/>
        <v>-1</v>
      </c>
    </row>
    <row r="65" spans="1:26" s="24" customFormat="1" hidden="1" outlineLevel="1" x14ac:dyDescent="0.25">
      <c r="A65" s="44"/>
      <c r="B65" s="11" t="str">
        <f>CONCATENATE("          ", "4240", " - ", "SALES RETURN TAXABLE-LOGO CLOT")</f>
        <v xml:space="preserve">          4240 - SALES RETURN TAXABLE-LOGO CLOT</v>
      </c>
      <c r="C65" s="11"/>
      <c r="D65" s="2">
        <f t="shared" si="15"/>
        <v>0</v>
      </c>
      <c r="E65" s="2"/>
      <c r="F65" s="19"/>
      <c r="G65" s="2"/>
      <c r="H65" s="2">
        <f>-3453.14</f>
        <v>-3453.14</v>
      </c>
      <c r="I65" s="2"/>
      <c r="J65" s="19"/>
      <c r="K65" s="2"/>
      <c r="L65" s="2">
        <f t="shared" si="0"/>
        <v>3453.14</v>
      </c>
      <c r="M65" s="2"/>
      <c r="N65" s="19">
        <f t="shared" si="1"/>
        <v>-1</v>
      </c>
      <c r="O65" s="11"/>
      <c r="P65" s="2">
        <f t="shared" si="16"/>
        <v>0</v>
      </c>
      <c r="Q65" s="2"/>
      <c r="R65" s="19"/>
      <c r="S65" s="2"/>
      <c r="T65" s="2">
        <f>-11609.96</f>
        <v>-11609.96</v>
      </c>
      <c r="U65" s="2"/>
      <c r="V65" s="19"/>
      <c r="W65" s="2"/>
      <c r="X65" s="2">
        <f t="shared" si="2"/>
        <v>11609.96</v>
      </c>
      <c r="Y65" s="2"/>
      <c r="Z65" s="19">
        <f t="shared" si="3"/>
        <v>-1</v>
      </c>
    </row>
    <row r="66" spans="1:26" s="24" customFormat="1" hidden="1" outlineLevel="1" x14ac:dyDescent="0.25">
      <c r="A66" s="44"/>
      <c r="B66" s="11" t="str">
        <f>CONCATENATE("          ", "4241", " - ", "SALES RETURN TAXABLE-LOGO GIFT")</f>
        <v xml:space="preserve">          4241 - SALES RETURN TAXABLE-LOGO GIFT</v>
      </c>
      <c r="C66" s="11"/>
      <c r="D66" s="2">
        <f t="shared" si="15"/>
        <v>0</v>
      </c>
      <c r="E66" s="2"/>
      <c r="F66" s="19"/>
      <c r="G66" s="2"/>
      <c r="H66" s="2">
        <f>-988.92</f>
        <v>-988.92</v>
      </c>
      <c r="I66" s="2"/>
      <c r="J66" s="19"/>
      <c r="K66" s="2"/>
      <c r="L66" s="2">
        <f t="shared" si="0"/>
        <v>988.92</v>
      </c>
      <c r="M66" s="2"/>
      <c r="N66" s="19">
        <f t="shared" si="1"/>
        <v>-1</v>
      </c>
      <c r="O66" s="11"/>
      <c r="P66" s="2">
        <f t="shared" si="16"/>
        <v>0</v>
      </c>
      <c r="Q66" s="2"/>
      <c r="R66" s="19"/>
      <c r="S66" s="2"/>
      <c r="T66" s="2">
        <f>-2317.11</f>
        <v>-2317.11</v>
      </c>
      <c r="U66" s="2"/>
      <c r="V66" s="19"/>
      <c r="W66" s="2"/>
      <c r="X66" s="2">
        <f t="shared" si="2"/>
        <v>2317.11</v>
      </c>
      <c r="Y66" s="2"/>
      <c r="Z66" s="19">
        <f t="shared" si="3"/>
        <v>-1</v>
      </c>
    </row>
    <row r="67" spans="1:26" s="24" customFormat="1" hidden="1" outlineLevel="1" x14ac:dyDescent="0.25">
      <c r="A67" s="44"/>
      <c r="B67" s="11" t="str">
        <f>CONCATENATE("          ", "4242", " - ", "SALES RETURN TAXABLE-EVERYDAY")</f>
        <v xml:space="preserve">          4242 - SALES RETURN TAXABLE-EVERYDAY</v>
      </c>
      <c r="C67" s="11"/>
      <c r="D67" s="2">
        <f t="shared" si="15"/>
        <v>0</v>
      </c>
      <c r="E67" s="2"/>
      <c r="F67" s="19"/>
      <c r="G67" s="2"/>
      <c r="H67" s="2">
        <f>-405.07</f>
        <v>-405.07</v>
      </c>
      <c r="I67" s="2"/>
      <c r="J67" s="19"/>
      <c r="K67" s="2"/>
      <c r="L67" s="2">
        <f t="shared" si="0"/>
        <v>405.07</v>
      </c>
      <c r="M67" s="2"/>
      <c r="N67" s="19">
        <f t="shared" si="1"/>
        <v>-1</v>
      </c>
      <c r="O67" s="11"/>
      <c r="P67" s="2">
        <f t="shared" si="16"/>
        <v>0</v>
      </c>
      <c r="Q67" s="2"/>
      <c r="R67" s="19"/>
      <c r="S67" s="2"/>
      <c r="T67" s="2">
        <f>-1054.56</f>
        <v>-1054.56</v>
      </c>
      <c r="U67" s="2"/>
      <c r="V67" s="19"/>
      <c r="W67" s="2"/>
      <c r="X67" s="2">
        <f t="shared" si="2"/>
        <v>1054.56</v>
      </c>
      <c r="Y67" s="2"/>
      <c r="Z67" s="19">
        <f t="shared" si="3"/>
        <v>-1</v>
      </c>
    </row>
    <row r="68" spans="1:26" s="24" customFormat="1" hidden="1" outlineLevel="1" x14ac:dyDescent="0.25">
      <c r="A68" s="44"/>
      <c r="B68" s="11" t="str">
        <f>CONCATENATE("          ", "4243", " - ", "SALES RETURN TAXABLE-CARDS")</f>
        <v xml:space="preserve">          4243 - SALES RETURN TAXABLE-CARDS</v>
      </c>
      <c r="C68" s="11"/>
      <c r="D68" s="2">
        <f t="shared" si="15"/>
        <v>0</v>
      </c>
      <c r="E68" s="2"/>
      <c r="F68" s="19"/>
      <c r="G68" s="2"/>
      <c r="H68" s="2">
        <f>-59.94</f>
        <v>-59.94</v>
      </c>
      <c r="I68" s="2"/>
      <c r="J68" s="19"/>
      <c r="K68" s="2"/>
      <c r="L68" s="2">
        <f t="shared" si="0"/>
        <v>59.94</v>
      </c>
      <c r="M68" s="2"/>
      <c r="N68" s="19">
        <f t="shared" si="1"/>
        <v>-1</v>
      </c>
      <c r="O68" s="11"/>
      <c r="P68" s="2">
        <f t="shared" si="16"/>
        <v>0</v>
      </c>
      <c r="Q68" s="2"/>
      <c r="R68" s="19"/>
      <c r="S68" s="2"/>
      <c r="T68" s="2">
        <f>-153.37</f>
        <v>-153.37</v>
      </c>
      <c r="U68" s="2"/>
      <c r="V68" s="19"/>
      <c r="W68" s="2"/>
      <c r="X68" s="2">
        <f t="shared" si="2"/>
        <v>153.37</v>
      </c>
      <c r="Y68" s="2"/>
      <c r="Z68" s="19">
        <f t="shared" si="3"/>
        <v>-1</v>
      </c>
    </row>
    <row r="69" spans="1:26" s="24" customFormat="1" hidden="1" outlineLevel="1" x14ac:dyDescent="0.25">
      <c r="A69" s="44"/>
      <c r="B69" s="11" t="str">
        <f>CONCATENATE("          ", "4244", " - ", "SALES RETURN TAXABLE-ACCESSORI")</f>
        <v xml:space="preserve">          4244 - SALES RETURN TAXABLE-ACCESSORI</v>
      </c>
      <c r="C69" s="11"/>
      <c r="D69" s="2">
        <f t="shared" si="15"/>
        <v>0</v>
      </c>
      <c r="E69" s="2"/>
      <c r="F69" s="19"/>
      <c r="G69" s="2"/>
      <c r="H69" s="2">
        <f>-60</f>
        <v>-60</v>
      </c>
      <c r="I69" s="2"/>
      <c r="J69" s="19"/>
      <c r="K69" s="2"/>
      <c r="L69" s="2">
        <f t="shared" si="0"/>
        <v>60</v>
      </c>
      <c r="M69" s="2"/>
      <c r="N69" s="19">
        <f t="shared" si="1"/>
        <v>-1</v>
      </c>
      <c r="O69" s="11"/>
      <c r="P69" s="2">
        <f t="shared" si="16"/>
        <v>0</v>
      </c>
      <c r="Q69" s="2"/>
      <c r="R69" s="19"/>
      <c r="S69" s="2"/>
      <c r="T69" s="2">
        <f>-410.99</f>
        <v>-410.99</v>
      </c>
      <c r="U69" s="2"/>
      <c r="V69" s="19"/>
      <c r="W69" s="2"/>
      <c r="X69" s="2">
        <f t="shared" si="2"/>
        <v>410.99</v>
      </c>
      <c r="Y69" s="2"/>
      <c r="Z69" s="19">
        <f t="shared" si="3"/>
        <v>-1</v>
      </c>
    </row>
    <row r="70" spans="1:26" s="24" customFormat="1" hidden="1" outlineLevel="1" x14ac:dyDescent="0.25">
      <c r="A70" s="44"/>
      <c r="B70" s="11" t="str">
        <f>CONCATENATE("          ", "4245", " - ", "SALES RETURN TAXABLE-SPECIAL O")</f>
        <v xml:space="preserve">          4245 - SALES RETURN TAXABLE-SPECIAL O</v>
      </c>
      <c r="C70" s="11"/>
      <c r="D70" s="2">
        <f t="shared" si="15"/>
        <v>0</v>
      </c>
      <c r="E70" s="2"/>
      <c r="F70" s="19"/>
      <c r="G70" s="2"/>
      <c r="H70" s="2">
        <f>-3.99</f>
        <v>-3.99</v>
      </c>
      <c r="I70" s="2"/>
      <c r="J70" s="19"/>
      <c r="K70" s="2"/>
      <c r="L70" s="2">
        <f t="shared" si="0"/>
        <v>3.99</v>
      </c>
      <c r="M70" s="2"/>
      <c r="N70" s="19">
        <f t="shared" si="1"/>
        <v>-1</v>
      </c>
      <c r="O70" s="11"/>
      <c r="P70" s="2">
        <f t="shared" si="16"/>
        <v>0</v>
      </c>
      <c r="Q70" s="2"/>
      <c r="R70" s="19"/>
      <c r="S70" s="2"/>
      <c r="T70" s="2">
        <f>-1182.95</f>
        <v>-1182.95</v>
      </c>
      <c r="U70" s="2"/>
      <c r="V70" s="19"/>
      <c r="W70" s="2"/>
      <c r="X70" s="2">
        <f t="shared" si="2"/>
        <v>1182.95</v>
      </c>
      <c r="Y70" s="2"/>
      <c r="Z70" s="19">
        <f t="shared" si="3"/>
        <v>-1</v>
      </c>
    </row>
    <row r="71" spans="1:26" s="24" customFormat="1" hidden="1" outlineLevel="1" x14ac:dyDescent="0.25">
      <c r="A71" s="44"/>
      <c r="B71" s="11" t="str">
        <f>CONCATENATE("          ", "4300", " - ", "NON-TAX RETURNS")</f>
        <v xml:space="preserve">          4300 - NON-TAX RETURNS</v>
      </c>
      <c r="C71" s="11"/>
      <c r="D71" s="2">
        <f>-2715.58</f>
        <v>-2715.58</v>
      </c>
      <c r="E71" s="2"/>
      <c r="F71" s="19"/>
      <c r="G71" s="2"/>
      <c r="H71" s="2">
        <f>0</f>
        <v>0</v>
      </c>
      <c r="I71" s="2"/>
      <c r="J71" s="19"/>
      <c r="K71" s="2"/>
      <c r="L71" s="2">
        <f t="shared" si="0"/>
        <v>-2715.58</v>
      </c>
      <c r="M71" s="2"/>
      <c r="N71" s="19">
        <f t="shared" si="1"/>
        <v>0</v>
      </c>
      <c r="O71" s="11"/>
      <c r="P71" s="2">
        <f>-20106.24</f>
        <v>-20106.240000000002</v>
      </c>
      <c r="Q71" s="2"/>
      <c r="R71" s="19"/>
      <c r="S71" s="2"/>
      <c r="T71" s="2">
        <f>0</f>
        <v>0</v>
      </c>
      <c r="U71" s="2"/>
      <c r="V71" s="19"/>
      <c r="W71" s="2"/>
      <c r="X71" s="2">
        <f t="shared" si="2"/>
        <v>-20106.240000000002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"4301", " - ", "SALES RETURN NON TAXABLE-NEW T")</f>
        <v xml:space="preserve">          4301 - SALES RETURN NON TAXABLE-NEW T</v>
      </c>
      <c r="C72" s="11"/>
      <c r="D72" s="2">
        <f t="shared" ref="D72:D77" si="17">0</f>
        <v>0</v>
      </c>
      <c r="E72" s="2"/>
      <c r="F72" s="19"/>
      <c r="G72" s="2"/>
      <c r="H72" s="2">
        <f>-1820.43</f>
        <v>-1820.43</v>
      </c>
      <c r="I72" s="2"/>
      <c r="J72" s="19"/>
      <c r="K72" s="2"/>
      <c r="L72" s="2">
        <f t="shared" si="0"/>
        <v>1820.43</v>
      </c>
      <c r="M72" s="2"/>
      <c r="N72" s="19">
        <f t="shared" si="1"/>
        <v>-1</v>
      </c>
      <c r="O72" s="11"/>
      <c r="P72" s="2">
        <f t="shared" ref="P72:P77" si="18">0</f>
        <v>0</v>
      </c>
      <c r="Q72" s="2"/>
      <c r="R72" s="19"/>
      <c r="S72" s="2"/>
      <c r="T72" s="2">
        <f>-1840.68</f>
        <v>-1840.68</v>
      </c>
      <c r="U72" s="2"/>
      <c r="V72" s="19"/>
      <c r="W72" s="2"/>
      <c r="X72" s="2">
        <f t="shared" si="2"/>
        <v>1840.68</v>
      </c>
      <c r="Y72" s="2"/>
      <c r="Z72" s="19">
        <f t="shared" si="3"/>
        <v>-1</v>
      </c>
    </row>
    <row r="73" spans="1:26" s="24" customFormat="1" hidden="1" outlineLevel="1" x14ac:dyDescent="0.25">
      <c r="A73" s="44"/>
      <c r="B73" s="11" t="str">
        <f>CONCATENATE("          ", "4302", " - ", "SALES RETURN NON TAXABLE-TEXT")</f>
        <v xml:space="preserve">          4302 - SALES RETURN NON TAXABLE-TEXT</v>
      </c>
      <c r="C73" s="11"/>
      <c r="D73" s="2">
        <f t="shared" si="17"/>
        <v>0</v>
      </c>
      <c r="E73" s="2"/>
      <c r="F73" s="19"/>
      <c r="G73" s="2"/>
      <c r="H73" s="2">
        <f>-737.24</f>
        <v>-737.24</v>
      </c>
      <c r="I73" s="2"/>
      <c r="J73" s="19"/>
      <c r="K73" s="2"/>
      <c r="L73" s="2">
        <f t="shared" si="0"/>
        <v>737.24</v>
      </c>
      <c r="M73" s="2"/>
      <c r="N73" s="19">
        <f t="shared" si="1"/>
        <v>-1</v>
      </c>
      <c r="O73" s="11"/>
      <c r="P73" s="2">
        <f t="shared" si="18"/>
        <v>0</v>
      </c>
      <c r="Q73" s="2"/>
      <c r="R73" s="19"/>
      <c r="S73" s="2"/>
      <c r="T73" s="2">
        <f>-1147.08</f>
        <v>-1147.08</v>
      </c>
      <c r="U73" s="2"/>
      <c r="V73" s="19"/>
      <c r="W73" s="2"/>
      <c r="X73" s="2">
        <f t="shared" si="2"/>
        <v>1147.08</v>
      </c>
      <c r="Y73" s="2"/>
      <c r="Z73" s="19">
        <f t="shared" si="3"/>
        <v>-1</v>
      </c>
    </row>
    <row r="74" spans="1:26" s="24" customFormat="1" hidden="1" outlineLevel="1" x14ac:dyDescent="0.25">
      <c r="A74" s="44"/>
      <c r="B74" s="11" t="str">
        <f>CONCATENATE("          ", "4304", " - ", "SALES RETURN NON TAXABLE-DIGIT")</f>
        <v xml:space="preserve">          4304 - SALES RETURN NON TAXABLE-DIGIT</v>
      </c>
      <c r="C74" s="11"/>
      <c r="D74" s="2">
        <f t="shared" si="17"/>
        <v>0</v>
      </c>
      <c r="E74" s="2"/>
      <c r="F74" s="19"/>
      <c r="G74" s="2"/>
      <c r="H74" s="2">
        <f>-7456.63</f>
        <v>-7456.63</v>
      </c>
      <c r="I74" s="2"/>
      <c r="J74" s="19"/>
      <c r="K74" s="2"/>
      <c r="L74" s="2">
        <f t="shared" si="0"/>
        <v>7456.63</v>
      </c>
      <c r="M74" s="2"/>
      <c r="N74" s="19">
        <f t="shared" si="1"/>
        <v>-1</v>
      </c>
      <c r="O74" s="11"/>
      <c r="P74" s="2">
        <f t="shared" si="18"/>
        <v>0</v>
      </c>
      <c r="Q74" s="2"/>
      <c r="R74" s="19"/>
      <c r="S74" s="2"/>
      <c r="T74" s="2">
        <f>-13409.36</f>
        <v>-13409.36</v>
      </c>
      <c r="U74" s="2"/>
      <c r="V74" s="19"/>
      <c r="W74" s="2"/>
      <c r="X74" s="2">
        <f t="shared" si="2"/>
        <v>13409.36</v>
      </c>
      <c r="Y74" s="2"/>
      <c r="Z74" s="19">
        <f t="shared" si="3"/>
        <v>-1</v>
      </c>
    </row>
    <row r="75" spans="1:26" s="24" customFormat="1" hidden="1" outlineLevel="1" x14ac:dyDescent="0.25">
      <c r="A75" s="44"/>
      <c r="B75" s="11" t="str">
        <f>CONCATENATE("          ", "4340", " - ", "SALES RETURN NON TAXABLE-LOGO")</f>
        <v xml:space="preserve">          4340 - SALES RETURN NON TAXABLE-LOGO</v>
      </c>
      <c r="C75" s="11"/>
      <c r="D75" s="2">
        <f t="shared" si="17"/>
        <v>0</v>
      </c>
      <c r="E75" s="2"/>
      <c r="F75" s="19"/>
      <c r="G75" s="2"/>
      <c r="H75" s="2">
        <f>-36.9</f>
        <v>-36.9</v>
      </c>
      <c r="I75" s="2"/>
      <c r="J75" s="19"/>
      <c r="K75" s="2"/>
      <c r="L75" s="2">
        <f t="shared" si="0"/>
        <v>36.9</v>
      </c>
      <c r="M75" s="2"/>
      <c r="N75" s="19">
        <f t="shared" si="1"/>
        <v>-1</v>
      </c>
      <c r="O75" s="11"/>
      <c r="P75" s="2">
        <f t="shared" si="18"/>
        <v>0</v>
      </c>
      <c r="Q75" s="2"/>
      <c r="R75" s="19"/>
      <c r="S75" s="2"/>
      <c r="T75" s="2">
        <f>-541.04</f>
        <v>-541.04</v>
      </c>
      <c r="U75" s="2"/>
      <c r="V75" s="19"/>
      <c r="W75" s="2"/>
      <c r="X75" s="2">
        <f t="shared" si="2"/>
        <v>541.04</v>
      </c>
      <c r="Y75" s="2"/>
      <c r="Z75" s="19">
        <f t="shared" si="3"/>
        <v>-1</v>
      </c>
    </row>
    <row r="76" spans="1:26" s="24" customFormat="1" hidden="1" outlineLevel="1" x14ac:dyDescent="0.25">
      <c r="A76" s="44"/>
      <c r="B76" s="11" t="str">
        <f>CONCATENATE("          ", "4341", " - ", "SALES RETURN NON TAXABLE-LOGO")</f>
        <v xml:space="preserve">          4341 - SALES RETURN NON TAXABLE-LOGO</v>
      </c>
      <c r="C76" s="11"/>
      <c r="D76" s="2">
        <f t="shared" si="17"/>
        <v>0</v>
      </c>
      <c r="E76" s="2"/>
      <c r="F76" s="19"/>
      <c r="G76" s="2"/>
      <c r="H76" s="2">
        <f>-129.95</f>
        <v>-129.94999999999999</v>
      </c>
      <c r="I76" s="2"/>
      <c r="J76" s="19"/>
      <c r="K76" s="2"/>
      <c r="L76" s="2">
        <f t="shared" si="0"/>
        <v>129.94999999999999</v>
      </c>
      <c r="M76" s="2"/>
      <c r="N76" s="19">
        <f t="shared" si="1"/>
        <v>-1</v>
      </c>
      <c r="O76" s="11"/>
      <c r="P76" s="2">
        <f t="shared" si="18"/>
        <v>0</v>
      </c>
      <c r="Q76" s="2"/>
      <c r="R76" s="19"/>
      <c r="S76" s="2"/>
      <c r="T76" s="2">
        <f>-146.9</f>
        <v>-146.9</v>
      </c>
      <c r="U76" s="2"/>
      <c r="V76" s="19"/>
      <c r="W76" s="2"/>
      <c r="X76" s="2">
        <f t="shared" si="2"/>
        <v>146.9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"4342", " - ", "SALES RETURN NON TAXABLE-EVERY")</f>
        <v xml:space="preserve">          4342 - SALES RETURN NON TAXABLE-EVERY</v>
      </c>
      <c r="C77" s="11"/>
      <c r="D77" s="2">
        <f t="shared" si="17"/>
        <v>0</v>
      </c>
      <c r="E77" s="2"/>
      <c r="F77" s="19"/>
      <c r="G77" s="2"/>
      <c r="H77" s="2">
        <f>-24.95</f>
        <v>-24.95</v>
      </c>
      <c r="I77" s="2"/>
      <c r="J77" s="19"/>
      <c r="K77" s="2"/>
      <c r="L77" s="2">
        <f t="shared" si="0"/>
        <v>24.95</v>
      </c>
      <c r="M77" s="2"/>
      <c r="N77" s="19">
        <f t="shared" si="1"/>
        <v>-1</v>
      </c>
      <c r="O77" s="11"/>
      <c r="P77" s="2">
        <f t="shared" si="18"/>
        <v>0</v>
      </c>
      <c r="Q77" s="2"/>
      <c r="R77" s="19"/>
      <c r="S77" s="2"/>
      <c r="T77" s="2">
        <f>-118.7</f>
        <v>-118.7</v>
      </c>
      <c r="U77" s="2"/>
      <c r="V77" s="19"/>
      <c r="W77" s="2"/>
      <c r="X77" s="2">
        <f t="shared" si="2"/>
        <v>118.7</v>
      </c>
      <c r="Y77" s="2"/>
      <c r="Z77" s="19">
        <f t="shared" si="3"/>
        <v>-1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collapsed="1" x14ac:dyDescent="0.25">
      <c r="A79" s="10"/>
      <c r="B79" s="26" t="s">
        <v>256</v>
      </c>
      <c r="C79" s="10"/>
      <c r="D79" s="4">
        <f>SUM(OSRRefD16x_0)</f>
        <v>393284.00999999995</v>
      </c>
      <c r="E79" s="4"/>
      <c r="F79" s="12">
        <f t="shared" ref="F79:F115" si="19">IF(D$12=0,0,D79/D$12)</f>
        <v>0.6548561044644684</v>
      </c>
      <c r="G79" s="4"/>
      <c r="H79" s="4">
        <f>SUM(OSRRefH16x_0)</f>
        <v>231194.25000000003</v>
      </c>
      <c r="I79" s="4"/>
      <c r="J79" s="12">
        <f t="shared" ref="J79:J115" si="20">IF(H$12=0,0,H79/H$12)</f>
        <v>0.62332077332306235</v>
      </c>
      <c r="K79" s="4"/>
      <c r="L79" s="4">
        <f t="shared" ref="L79:L115" si="21">+D79-H79</f>
        <v>162089.75999999992</v>
      </c>
      <c r="M79" s="4"/>
      <c r="N79" s="12">
        <f t="shared" ref="N79:N115" si="22">IF(H79=0,0,L79/H79)</f>
        <v>0.70109771328655401</v>
      </c>
      <c r="O79" s="10"/>
      <c r="P79" s="4">
        <f>SUM(OSRRefP16x_0)</f>
        <v>1516289.98</v>
      </c>
      <c r="Q79" s="4"/>
      <c r="R79" s="12">
        <f t="shared" ref="R79:R115" si="23">IF(P$12=0,0,P79/P$12)</f>
        <v>0.64784227852287835</v>
      </c>
      <c r="S79" s="4"/>
      <c r="T79" s="4">
        <f>SUM(OSRRefT16x_0)</f>
        <v>1451742.9400000002</v>
      </c>
      <c r="U79" s="4"/>
      <c r="V79" s="12">
        <f t="shared" ref="V79:V115" si="24">IF(T$12=0,0,T79/T$12)</f>
        <v>0.66093834260943085</v>
      </c>
      <c r="W79" s="4"/>
      <c r="X79" s="4">
        <f t="shared" ref="X79:X115" si="25">+P79-T79</f>
        <v>64547.039999999804</v>
      </c>
      <c r="Y79" s="4"/>
      <c r="Z79" s="12">
        <f t="shared" ref="Z79:Z115" si="26">IF(T79=0,0,X79/T79)</f>
        <v>4.4461755743065504E-2</v>
      </c>
    </row>
    <row r="80" spans="1:26" s="24" customFormat="1" hidden="1" outlineLevel="1" x14ac:dyDescent="0.25">
      <c r="A80" s="44"/>
      <c r="B80" s="11" t="str">
        <f>CONCATENATE("          ", "5000", " - ", "PURCHASES @ COST")</f>
        <v xml:space="preserve">          5000 - PURCHASES @ COST</v>
      </c>
      <c r="C80" s="11"/>
      <c r="D80" s="2">
        <v>726303.95</v>
      </c>
      <c r="E80" s="2"/>
      <c r="F80" s="19">
        <f t="shared" si="19"/>
        <v>1.2093666746180605</v>
      </c>
      <c r="G80" s="2"/>
      <c r="H80" s="2">
        <v>0</v>
      </c>
      <c r="I80" s="2"/>
      <c r="J80" s="19">
        <f t="shared" si="20"/>
        <v>0</v>
      </c>
      <c r="K80" s="2"/>
      <c r="L80" s="2">
        <f t="shared" si="21"/>
        <v>726303.95</v>
      </c>
      <c r="M80" s="2"/>
      <c r="N80" s="19">
        <f t="shared" si="22"/>
        <v>0</v>
      </c>
      <c r="O80" s="11"/>
      <c r="P80" s="2">
        <v>1571258.59</v>
      </c>
      <c r="Q80" s="2"/>
      <c r="R80" s="19">
        <f t="shared" si="23"/>
        <v>0.67132788485105277</v>
      </c>
      <c r="S80" s="2"/>
      <c r="T80" s="2">
        <v>0</v>
      </c>
      <c r="U80" s="2"/>
      <c r="V80" s="19">
        <f t="shared" si="24"/>
        <v>0</v>
      </c>
      <c r="W80" s="2"/>
      <c r="X80" s="2">
        <f t="shared" si="25"/>
        <v>1571258.59</v>
      </c>
      <c r="Y80" s="2"/>
      <c r="Z80" s="19">
        <f t="shared" si="26"/>
        <v>0</v>
      </c>
    </row>
    <row r="81" spans="1:26" s="24" customFormat="1" hidden="1" outlineLevel="1" x14ac:dyDescent="0.25">
      <c r="A81" s="44"/>
      <c r="B81" s="11" t="str">
        <f>CONCATENATE("          ", "5001", " - ", "PURCHASES @ COST-NEW TEXT")</f>
        <v xml:space="preserve">          5001 - PURCHASES @ COST-NEW TEXT</v>
      </c>
      <c r="C81" s="11"/>
      <c r="D81" s="2">
        <v>0</v>
      </c>
      <c r="E81" s="2"/>
      <c r="F81" s="19">
        <f t="shared" si="19"/>
        <v>0</v>
      </c>
      <c r="G81" s="2"/>
      <c r="H81" s="2">
        <v>602088.99</v>
      </c>
      <c r="I81" s="2"/>
      <c r="J81" s="19">
        <f t="shared" si="20"/>
        <v>1.6232868025744649</v>
      </c>
      <c r="K81" s="2"/>
      <c r="L81" s="2">
        <f t="shared" si="21"/>
        <v>-602088.99</v>
      </c>
      <c r="M81" s="2"/>
      <c r="N81" s="19">
        <f t="shared" si="22"/>
        <v>-1</v>
      </c>
      <c r="O81" s="11"/>
      <c r="P81" s="2">
        <v>0</v>
      </c>
      <c r="Q81" s="2"/>
      <c r="R81" s="19">
        <f t="shared" si="23"/>
        <v>0</v>
      </c>
      <c r="S81" s="2"/>
      <c r="T81" s="2">
        <v>1293421.76</v>
      </c>
      <c r="U81" s="2"/>
      <c r="V81" s="19">
        <f t="shared" si="24"/>
        <v>0.58885909536393055</v>
      </c>
      <c r="W81" s="2"/>
      <c r="X81" s="2">
        <f t="shared" si="25"/>
        <v>-1293421.76</v>
      </c>
      <c r="Y81" s="2"/>
      <c r="Z81" s="19">
        <f t="shared" si="26"/>
        <v>-1</v>
      </c>
    </row>
    <row r="82" spans="1:26" s="24" customFormat="1" hidden="1" outlineLevel="1" x14ac:dyDescent="0.25">
      <c r="A82" s="44"/>
      <c r="B82" s="11" t="str">
        <f>CONCATENATE("          ", "5002", " - ", "PURCHASES @ COST-USED TEXT")</f>
        <v xml:space="preserve">          5002 - PURCHASES @ COST-USED TEXT</v>
      </c>
      <c r="C82" s="11"/>
      <c r="D82" s="2">
        <v>0</v>
      </c>
      <c r="E82" s="2"/>
      <c r="F82" s="19">
        <f t="shared" si="19"/>
        <v>0</v>
      </c>
      <c r="G82" s="2"/>
      <c r="H82" s="2">
        <v>108363.86</v>
      </c>
      <c r="I82" s="2"/>
      <c r="J82" s="19">
        <f t="shared" si="20"/>
        <v>0.29215884484788029</v>
      </c>
      <c r="K82" s="2"/>
      <c r="L82" s="2">
        <f t="shared" si="21"/>
        <v>-108363.86</v>
      </c>
      <c r="M82" s="2"/>
      <c r="N82" s="19">
        <f t="shared" si="22"/>
        <v>-1</v>
      </c>
      <c r="O82" s="11"/>
      <c r="P82" s="2">
        <v>0</v>
      </c>
      <c r="Q82" s="2"/>
      <c r="R82" s="19">
        <f t="shared" si="23"/>
        <v>0</v>
      </c>
      <c r="S82" s="2"/>
      <c r="T82" s="2">
        <v>296731.38</v>
      </c>
      <c r="U82" s="2"/>
      <c r="V82" s="19">
        <f t="shared" si="24"/>
        <v>0.13509357689551374</v>
      </c>
      <c r="W82" s="2"/>
      <c r="X82" s="2">
        <f t="shared" si="25"/>
        <v>-296731.38</v>
      </c>
      <c r="Y82" s="2"/>
      <c r="Z82" s="19">
        <f t="shared" si="26"/>
        <v>-1</v>
      </c>
    </row>
    <row r="83" spans="1:26" s="24" customFormat="1" hidden="1" outlineLevel="1" x14ac:dyDescent="0.25">
      <c r="A83" s="44"/>
      <c r="B83" s="11" t="str">
        <f>CONCATENATE("          ", "5003", " - ", "PURCHASES @ COST-RENTAL TEXT")</f>
        <v xml:space="preserve">          5003 - PURCHASES @ COST-RENTAL TEXT</v>
      </c>
      <c r="C83" s="11"/>
      <c r="D83" s="2"/>
      <c r="E83" s="2"/>
      <c r="F83" s="19">
        <f t="shared" si="19"/>
        <v>0</v>
      </c>
      <c r="G83" s="2"/>
      <c r="H83" s="2">
        <v>781.74</v>
      </c>
      <c r="I83" s="2"/>
      <c r="J83" s="19">
        <f t="shared" si="20"/>
        <v>2.1076423022526325E-3</v>
      </c>
      <c r="K83" s="2"/>
      <c r="L83" s="2">
        <f t="shared" si="21"/>
        <v>-781.74</v>
      </c>
      <c r="M83" s="2"/>
      <c r="N83" s="19">
        <f t="shared" si="22"/>
        <v>-1</v>
      </c>
      <c r="O83" s="11"/>
      <c r="P83" s="2"/>
      <c r="Q83" s="2"/>
      <c r="R83" s="19">
        <f t="shared" si="23"/>
        <v>0</v>
      </c>
      <c r="S83" s="2"/>
      <c r="T83" s="2">
        <v>-11086.1</v>
      </c>
      <c r="U83" s="2"/>
      <c r="V83" s="19">
        <f t="shared" si="24"/>
        <v>-5.0471942091913392E-3</v>
      </c>
      <c r="W83" s="2"/>
      <c r="X83" s="2">
        <f t="shared" si="25"/>
        <v>11086.1</v>
      </c>
      <c r="Y83" s="2"/>
      <c r="Z83" s="19">
        <f t="shared" si="26"/>
        <v>-1</v>
      </c>
    </row>
    <row r="84" spans="1:26" s="24" customFormat="1" hidden="1" outlineLevel="1" x14ac:dyDescent="0.25">
      <c r="A84" s="44"/>
      <c r="B84" s="11" t="str">
        <f>CONCATENATE("          ", "5004", " - ", "PURCHASES @ COST-DIGITAL TEXT")</f>
        <v xml:space="preserve">          5004 - PURCHASES @ COST-DIGITAL TEXT</v>
      </c>
      <c r="C84" s="11"/>
      <c r="D84" s="2">
        <v>0</v>
      </c>
      <c r="E84" s="2"/>
      <c r="F84" s="19">
        <f t="shared" si="19"/>
        <v>0</v>
      </c>
      <c r="G84" s="2"/>
      <c r="H84" s="2">
        <v>60186.1</v>
      </c>
      <c r="I84" s="2"/>
      <c r="J84" s="19">
        <f t="shared" si="20"/>
        <v>0.16226721207512365</v>
      </c>
      <c r="K84" s="2"/>
      <c r="L84" s="2">
        <f t="shared" si="21"/>
        <v>-60186.1</v>
      </c>
      <c r="M84" s="2"/>
      <c r="N84" s="19">
        <f t="shared" si="22"/>
        <v>-1</v>
      </c>
      <c r="O84" s="11"/>
      <c r="P84" s="2">
        <v>0</v>
      </c>
      <c r="Q84" s="2"/>
      <c r="R84" s="19">
        <f t="shared" si="23"/>
        <v>0</v>
      </c>
      <c r="S84" s="2"/>
      <c r="T84" s="2">
        <v>182616.07</v>
      </c>
      <c r="U84" s="2"/>
      <c r="V84" s="19">
        <f t="shared" si="24"/>
        <v>8.3140037615507728E-2</v>
      </c>
      <c r="W84" s="2"/>
      <c r="X84" s="2">
        <f t="shared" si="25"/>
        <v>-182616.07</v>
      </c>
      <c r="Y84" s="2"/>
      <c r="Z84" s="19">
        <f t="shared" si="26"/>
        <v>-1</v>
      </c>
    </row>
    <row r="85" spans="1:26" s="24" customFormat="1" hidden="1" outlineLevel="1" x14ac:dyDescent="0.25">
      <c r="A85" s="44"/>
      <c r="B85" s="11" t="str">
        <f>CONCATENATE("          ", "5013", " - ", "PURCHASES @ COST-TRADE BOOKS")</f>
        <v xml:space="preserve">          5013 - PURCHASES @ COST-TRADE BOOKS</v>
      </c>
      <c r="C85" s="11"/>
      <c r="D85" s="2"/>
      <c r="E85" s="2"/>
      <c r="F85" s="19">
        <f t="shared" si="19"/>
        <v>0</v>
      </c>
      <c r="G85" s="2"/>
      <c r="H85" s="2">
        <v>-9.36</v>
      </c>
      <c r="I85" s="2"/>
      <c r="J85" s="19">
        <f t="shared" si="20"/>
        <v>-2.5235413243641927E-5</v>
      </c>
      <c r="K85" s="2"/>
      <c r="L85" s="2">
        <f t="shared" si="21"/>
        <v>9.36</v>
      </c>
      <c r="M85" s="2"/>
      <c r="N85" s="19">
        <f t="shared" si="22"/>
        <v>-1</v>
      </c>
      <c r="O85" s="11"/>
      <c r="P85" s="2"/>
      <c r="Q85" s="2"/>
      <c r="R85" s="19">
        <f t="shared" si="23"/>
        <v>0</v>
      </c>
      <c r="S85" s="2"/>
      <c r="T85" s="2">
        <v>99.18</v>
      </c>
      <c r="U85" s="2"/>
      <c r="V85" s="19">
        <f t="shared" si="24"/>
        <v>4.5153906393375224E-5</v>
      </c>
      <c r="W85" s="2"/>
      <c r="X85" s="2">
        <f t="shared" si="25"/>
        <v>-99.18</v>
      </c>
      <c r="Y85" s="2"/>
      <c r="Z85" s="19">
        <f t="shared" si="26"/>
        <v>-1</v>
      </c>
    </row>
    <row r="86" spans="1:26" s="24" customFormat="1" hidden="1" outlineLevel="1" x14ac:dyDescent="0.25">
      <c r="A86" s="44"/>
      <c r="B86" s="11" t="str">
        <f>CONCATENATE("          ", "5014", " - ", "PURCHASES @ COST-REMAINDERS")</f>
        <v xml:space="preserve">          5014 - PURCHASES @ COST-REMAINDERS</v>
      </c>
      <c r="C86" s="11"/>
      <c r="D86" s="2"/>
      <c r="E86" s="2"/>
      <c r="F86" s="19">
        <f t="shared" si="19"/>
        <v>0</v>
      </c>
      <c r="G86" s="2"/>
      <c r="H86" s="2"/>
      <c r="I86" s="2"/>
      <c r="J86" s="19">
        <f t="shared" si="20"/>
        <v>0</v>
      </c>
      <c r="K86" s="2"/>
      <c r="L86" s="2">
        <f t="shared" si="21"/>
        <v>0</v>
      </c>
      <c r="M86" s="2"/>
      <c r="N86" s="19">
        <f t="shared" si="22"/>
        <v>0</v>
      </c>
      <c r="O86" s="11"/>
      <c r="P86" s="2"/>
      <c r="Q86" s="2"/>
      <c r="R86" s="19">
        <f t="shared" si="23"/>
        <v>0</v>
      </c>
      <c r="S86" s="2"/>
      <c r="T86" s="2">
        <v>-12.51</v>
      </c>
      <c r="U86" s="2"/>
      <c r="V86" s="19">
        <f t="shared" si="24"/>
        <v>-5.695456432558217E-6</v>
      </c>
      <c r="W86" s="2"/>
      <c r="X86" s="2">
        <f t="shared" si="25"/>
        <v>12.51</v>
      </c>
      <c r="Y86" s="2"/>
      <c r="Z86" s="19">
        <f t="shared" si="26"/>
        <v>-1</v>
      </c>
    </row>
    <row r="87" spans="1:26" s="24" customFormat="1" hidden="1" outlineLevel="1" x14ac:dyDescent="0.25">
      <c r="A87" s="44"/>
      <c r="B87" s="11" t="str">
        <f>CONCATENATE("          ", "5026", " - ", "PURCHASES @ COST-WRITING INSTR")</f>
        <v xml:space="preserve">          5026 - PURCHASES @ COST-WRITING INSTR</v>
      </c>
      <c r="C87" s="11"/>
      <c r="D87" s="2"/>
      <c r="E87" s="2"/>
      <c r="F87" s="19">
        <f t="shared" si="19"/>
        <v>0</v>
      </c>
      <c r="G87" s="2"/>
      <c r="H87" s="2"/>
      <c r="I87" s="2"/>
      <c r="J87" s="19">
        <f t="shared" si="20"/>
        <v>0</v>
      </c>
      <c r="K87" s="2"/>
      <c r="L87" s="2">
        <f t="shared" si="21"/>
        <v>0</v>
      </c>
      <c r="M87" s="2"/>
      <c r="N87" s="19">
        <f t="shared" si="22"/>
        <v>0</v>
      </c>
      <c r="O87" s="11"/>
      <c r="P87" s="2">
        <v>0</v>
      </c>
      <c r="Q87" s="2"/>
      <c r="R87" s="19">
        <f t="shared" si="23"/>
        <v>0</v>
      </c>
      <c r="S87" s="2"/>
      <c r="T87" s="2"/>
      <c r="U87" s="2"/>
      <c r="V87" s="19">
        <f t="shared" si="24"/>
        <v>0</v>
      </c>
      <c r="W87" s="2"/>
      <c r="X87" s="2">
        <f t="shared" si="25"/>
        <v>0</v>
      </c>
      <c r="Y87" s="2"/>
      <c r="Z87" s="19">
        <f t="shared" si="26"/>
        <v>0</v>
      </c>
    </row>
    <row r="88" spans="1:26" s="24" customFormat="1" hidden="1" outlineLevel="1" x14ac:dyDescent="0.25">
      <c r="A88" s="44"/>
      <c r="B88" s="11" t="str">
        <f>CONCATENATE("          ", "5027", " - ", "PURCHASES @ COST-SCHOOL SUPPLI")</f>
        <v xml:space="preserve">          5027 - PURCHASES @ COST-SCHOOL SUPPLI</v>
      </c>
      <c r="C88" s="11"/>
      <c r="D88" s="2">
        <v>0</v>
      </c>
      <c r="E88" s="2"/>
      <c r="F88" s="19">
        <f t="shared" si="19"/>
        <v>0</v>
      </c>
      <c r="G88" s="2"/>
      <c r="H88" s="2"/>
      <c r="I88" s="2"/>
      <c r="J88" s="19">
        <f t="shared" si="20"/>
        <v>0</v>
      </c>
      <c r="K88" s="2"/>
      <c r="L88" s="2">
        <f t="shared" si="21"/>
        <v>0</v>
      </c>
      <c r="M88" s="2"/>
      <c r="N88" s="19">
        <f t="shared" si="22"/>
        <v>0</v>
      </c>
      <c r="O88" s="11"/>
      <c r="P88" s="2">
        <v>0</v>
      </c>
      <c r="Q88" s="2"/>
      <c r="R88" s="19">
        <f t="shared" si="23"/>
        <v>0</v>
      </c>
      <c r="S88" s="2"/>
      <c r="T88" s="2">
        <v>8503.4</v>
      </c>
      <c r="U88" s="2"/>
      <c r="V88" s="19">
        <f t="shared" si="24"/>
        <v>3.871362448330579E-3</v>
      </c>
      <c r="W88" s="2"/>
      <c r="X88" s="2">
        <f t="shared" si="25"/>
        <v>-8503.4</v>
      </c>
      <c r="Y88" s="2"/>
      <c r="Z88" s="19">
        <f t="shared" si="26"/>
        <v>-1</v>
      </c>
    </row>
    <row r="89" spans="1:26" s="24" customFormat="1" hidden="1" outlineLevel="1" x14ac:dyDescent="0.25">
      <c r="A89" s="44"/>
      <c r="B89" s="11" t="str">
        <f>CONCATENATE("          ", "5028", " - ", "PURCHASES @ COST-ART/TECH")</f>
        <v xml:space="preserve">          5028 - PURCHASES @ COST-ART/TECH</v>
      </c>
      <c r="C89" s="11"/>
      <c r="D89" s="2">
        <v>0</v>
      </c>
      <c r="E89" s="2"/>
      <c r="F89" s="19">
        <f t="shared" si="19"/>
        <v>0</v>
      </c>
      <c r="G89" s="2"/>
      <c r="H89" s="2">
        <v>-83.4</v>
      </c>
      <c r="I89" s="2"/>
      <c r="J89" s="19">
        <f t="shared" si="20"/>
        <v>-2.2485400261963002E-4</v>
      </c>
      <c r="K89" s="2"/>
      <c r="L89" s="2">
        <f t="shared" si="21"/>
        <v>83.4</v>
      </c>
      <c r="M89" s="2"/>
      <c r="N89" s="19">
        <f t="shared" si="22"/>
        <v>-1</v>
      </c>
      <c r="O89" s="11"/>
      <c r="P89" s="2">
        <v>0</v>
      </c>
      <c r="Q89" s="2"/>
      <c r="R89" s="19">
        <f t="shared" si="23"/>
        <v>0</v>
      </c>
      <c r="S89" s="2"/>
      <c r="T89" s="2">
        <v>-83.4</v>
      </c>
      <c r="U89" s="2"/>
      <c r="V89" s="19">
        <f t="shared" si="24"/>
        <v>-3.7969709550388119E-5</v>
      </c>
      <c r="W89" s="2"/>
      <c r="X89" s="2">
        <f t="shared" si="25"/>
        <v>83.4</v>
      </c>
      <c r="Y89" s="2"/>
      <c r="Z89" s="19">
        <f t="shared" si="26"/>
        <v>-1</v>
      </c>
    </row>
    <row r="90" spans="1:26" s="24" customFormat="1" hidden="1" outlineLevel="1" x14ac:dyDescent="0.25">
      <c r="A90" s="44"/>
      <c r="B90" s="11" t="str">
        <f>CONCATENATE("          ", "5031", " - ", "PURCHASES @ COST-FOOD")</f>
        <v xml:space="preserve">          5031 - PURCHASES @ COST-FOOD</v>
      </c>
      <c r="C90" s="11"/>
      <c r="D90" s="2">
        <v>0</v>
      </c>
      <c r="E90" s="2"/>
      <c r="F90" s="19">
        <f t="shared" si="19"/>
        <v>0</v>
      </c>
      <c r="G90" s="2"/>
      <c r="H90" s="2">
        <v>4065.92</v>
      </c>
      <c r="I90" s="2"/>
      <c r="J90" s="19">
        <f t="shared" si="20"/>
        <v>1.096209096320391E-2</v>
      </c>
      <c r="K90" s="2"/>
      <c r="L90" s="2">
        <f t="shared" si="21"/>
        <v>-4065.92</v>
      </c>
      <c r="M90" s="2"/>
      <c r="N90" s="19">
        <f t="shared" si="22"/>
        <v>-1</v>
      </c>
      <c r="O90" s="11"/>
      <c r="P90" s="2">
        <v>0</v>
      </c>
      <c r="Q90" s="2"/>
      <c r="R90" s="19">
        <f t="shared" si="23"/>
        <v>0</v>
      </c>
      <c r="S90" s="2"/>
      <c r="T90" s="2">
        <v>4065.92</v>
      </c>
      <c r="U90" s="2"/>
      <c r="V90" s="19">
        <f t="shared" si="24"/>
        <v>1.8511007368718711E-3</v>
      </c>
      <c r="W90" s="2"/>
      <c r="X90" s="2">
        <f t="shared" si="25"/>
        <v>-4065.92</v>
      </c>
      <c r="Y90" s="2"/>
      <c r="Z90" s="19">
        <f t="shared" si="26"/>
        <v>-1</v>
      </c>
    </row>
    <row r="91" spans="1:26" s="24" customFormat="1" hidden="1" outlineLevel="1" x14ac:dyDescent="0.25">
      <c r="A91" s="44"/>
      <c r="B91" s="11" t="str">
        <f>CONCATENATE("          ", "5040", " - ", "PURCHASES @ COST-LOGO CLOTHING")</f>
        <v xml:space="preserve">          5040 - PURCHASES @ COST-LOGO CLOTHING</v>
      </c>
      <c r="C91" s="11"/>
      <c r="D91" s="2">
        <v>0</v>
      </c>
      <c r="E91" s="2"/>
      <c r="F91" s="19">
        <f t="shared" si="19"/>
        <v>0</v>
      </c>
      <c r="G91" s="2"/>
      <c r="H91" s="2">
        <v>4398.1499999999996</v>
      </c>
      <c r="I91" s="2"/>
      <c r="J91" s="19">
        <f t="shared" si="20"/>
        <v>1.1857813328795271E-2</v>
      </c>
      <c r="K91" s="2"/>
      <c r="L91" s="2">
        <f t="shared" si="21"/>
        <v>-4398.1499999999996</v>
      </c>
      <c r="M91" s="2"/>
      <c r="N91" s="19">
        <f t="shared" si="22"/>
        <v>-1</v>
      </c>
      <c r="O91" s="11"/>
      <c r="P91" s="2">
        <v>0</v>
      </c>
      <c r="Q91" s="2"/>
      <c r="R91" s="19">
        <f t="shared" si="23"/>
        <v>0</v>
      </c>
      <c r="S91" s="2"/>
      <c r="T91" s="2">
        <v>13750.05</v>
      </c>
      <c r="U91" s="2"/>
      <c r="V91" s="19">
        <f t="shared" si="24"/>
        <v>6.2600168441644373E-3</v>
      </c>
      <c r="W91" s="2"/>
      <c r="X91" s="2">
        <f t="shared" si="25"/>
        <v>-13750.05</v>
      </c>
      <c r="Y91" s="2"/>
      <c r="Z91" s="19">
        <f t="shared" si="26"/>
        <v>-1</v>
      </c>
    </row>
    <row r="92" spans="1:26" s="24" customFormat="1" hidden="1" outlineLevel="1" x14ac:dyDescent="0.25">
      <c r="A92" s="44"/>
      <c r="B92" s="11" t="str">
        <f>CONCATENATE("          ", "5041", " - ", "PURCHASES @ COST-LOGO GIFTS")</f>
        <v xml:space="preserve">          5041 - PURCHASES @ COST-LOGO GIFTS</v>
      </c>
      <c r="C92" s="11"/>
      <c r="D92" s="2">
        <v>0</v>
      </c>
      <c r="E92" s="2"/>
      <c r="F92" s="19">
        <f t="shared" si="19"/>
        <v>0</v>
      </c>
      <c r="G92" s="2"/>
      <c r="H92" s="2">
        <v>868</v>
      </c>
      <c r="I92" s="2"/>
      <c r="J92" s="19">
        <f t="shared" si="20"/>
        <v>2.3402071255855974E-3</v>
      </c>
      <c r="K92" s="2"/>
      <c r="L92" s="2">
        <f t="shared" si="21"/>
        <v>-868</v>
      </c>
      <c r="M92" s="2"/>
      <c r="N92" s="19">
        <f t="shared" si="22"/>
        <v>-1</v>
      </c>
      <c r="O92" s="11"/>
      <c r="P92" s="2">
        <v>0</v>
      </c>
      <c r="Q92" s="2"/>
      <c r="R92" s="19">
        <f t="shared" si="23"/>
        <v>0</v>
      </c>
      <c r="S92" s="2"/>
      <c r="T92" s="2">
        <v>1997.54</v>
      </c>
      <c r="U92" s="2"/>
      <c r="V92" s="19">
        <f t="shared" si="24"/>
        <v>9.0942462368443975E-4</v>
      </c>
      <c r="W92" s="2"/>
      <c r="X92" s="2">
        <f t="shared" si="25"/>
        <v>-1997.54</v>
      </c>
      <c r="Y92" s="2"/>
      <c r="Z92" s="19">
        <f t="shared" si="26"/>
        <v>-1</v>
      </c>
    </row>
    <row r="93" spans="1:26" s="24" customFormat="1" hidden="1" outlineLevel="1" x14ac:dyDescent="0.25">
      <c r="A93" s="44"/>
      <c r="B93" s="11" t="str">
        <f>CONCATENATE("          ", "5042", " - ", "PURCHASES @ COST-EVERYDAY GIFT")</f>
        <v xml:space="preserve">          5042 - PURCHASES @ COST-EVERYDAY GIFT</v>
      </c>
      <c r="C93" s="11"/>
      <c r="D93" s="2"/>
      <c r="E93" s="2"/>
      <c r="F93" s="19">
        <f t="shared" si="19"/>
        <v>0</v>
      </c>
      <c r="G93" s="2"/>
      <c r="H93" s="2">
        <v>522</v>
      </c>
      <c r="I93" s="2"/>
      <c r="J93" s="19">
        <f t="shared" si="20"/>
        <v>1.4073595847415691E-3</v>
      </c>
      <c r="K93" s="2"/>
      <c r="L93" s="2">
        <f t="shared" si="21"/>
        <v>-522</v>
      </c>
      <c r="M93" s="2"/>
      <c r="N93" s="19">
        <f t="shared" si="22"/>
        <v>-1</v>
      </c>
      <c r="O93" s="11"/>
      <c r="P93" s="2">
        <v>0</v>
      </c>
      <c r="Q93" s="2"/>
      <c r="R93" s="19">
        <f t="shared" si="23"/>
        <v>0</v>
      </c>
      <c r="S93" s="2"/>
      <c r="T93" s="2">
        <v>1491.15</v>
      </c>
      <c r="U93" s="2"/>
      <c r="V93" s="19">
        <f t="shared" si="24"/>
        <v>6.7887928532447538E-4</v>
      </c>
      <c r="W93" s="2"/>
      <c r="X93" s="2">
        <f t="shared" si="25"/>
        <v>-1491.15</v>
      </c>
      <c r="Y93" s="2"/>
      <c r="Z93" s="19">
        <f t="shared" si="26"/>
        <v>-1</v>
      </c>
    </row>
    <row r="94" spans="1:26" s="24" customFormat="1" hidden="1" outlineLevel="1" x14ac:dyDescent="0.25">
      <c r="A94" s="44"/>
      <c r="B94" s="11" t="str">
        <f>CONCATENATE("          ", "5043", " - ", "PURCHASES @ COST-CARDS")</f>
        <v xml:space="preserve">          5043 - PURCHASES @ COST-CARDS</v>
      </c>
      <c r="C94" s="11"/>
      <c r="D94" s="2"/>
      <c r="E94" s="2"/>
      <c r="F94" s="19">
        <f t="shared" si="19"/>
        <v>0</v>
      </c>
      <c r="G94" s="2"/>
      <c r="H94" s="2">
        <v>1401</v>
      </c>
      <c r="I94" s="2"/>
      <c r="J94" s="19">
        <f t="shared" si="20"/>
        <v>3.7772237130707627E-3</v>
      </c>
      <c r="K94" s="2"/>
      <c r="L94" s="2">
        <f t="shared" si="21"/>
        <v>-1401</v>
      </c>
      <c r="M94" s="2"/>
      <c r="N94" s="19">
        <f t="shared" si="22"/>
        <v>-1</v>
      </c>
      <c r="O94" s="11"/>
      <c r="P94" s="2">
        <v>0</v>
      </c>
      <c r="Q94" s="2"/>
      <c r="R94" s="19">
        <f t="shared" si="23"/>
        <v>0</v>
      </c>
      <c r="S94" s="2"/>
      <c r="T94" s="2">
        <v>3116.25</v>
      </c>
      <c r="U94" s="2"/>
      <c r="V94" s="19">
        <f t="shared" si="24"/>
        <v>1.4187422948009228E-3</v>
      </c>
      <c r="W94" s="2"/>
      <c r="X94" s="2">
        <f t="shared" si="25"/>
        <v>-3116.25</v>
      </c>
      <c r="Y94" s="2"/>
      <c r="Z94" s="19">
        <f t="shared" si="26"/>
        <v>-1</v>
      </c>
    </row>
    <row r="95" spans="1:26" s="24" customFormat="1" hidden="1" outlineLevel="1" x14ac:dyDescent="0.25">
      <c r="A95" s="44"/>
      <c r="B95" s="11" t="str">
        <f>CONCATENATE("          ", "5044", " - ", "PURCHASES @ COST-ACCESSORIES")</f>
        <v xml:space="preserve">          5044 - PURCHASES @ COST-ACCESSORIES</v>
      </c>
      <c r="C95" s="11"/>
      <c r="D95" s="2"/>
      <c r="E95" s="2"/>
      <c r="F95" s="19">
        <f t="shared" si="19"/>
        <v>0</v>
      </c>
      <c r="G95" s="2"/>
      <c r="H95" s="2"/>
      <c r="I95" s="2"/>
      <c r="J95" s="19">
        <f t="shared" si="20"/>
        <v>0</v>
      </c>
      <c r="K95" s="2"/>
      <c r="L95" s="2">
        <f t="shared" si="21"/>
        <v>0</v>
      </c>
      <c r="M95" s="2"/>
      <c r="N95" s="19">
        <f t="shared" si="22"/>
        <v>0</v>
      </c>
      <c r="O95" s="11"/>
      <c r="P95" s="2">
        <v>0</v>
      </c>
      <c r="Q95" s="2"/>
      <c r="R95" s="19">
        <f t="shared" si="23"/>
        <v>0</v>
      </c>
      <c r="S95" s="2"/>
      <c r="T95" s="2"/>
      <c r="U95" s="2"/>
      <c r="V95" s="19">
        <f t="shared" si="24"/>
        <v>0</v>
      </c>
      <c r="W95" s="2"/>
      <c r="X95" s="2">
        <f t="shared" si="25"/>
        <v>0</v>
      </c>
      <c r="Y95" s="2"/>
      <c r="Z95" s="19">
        <f t="shared" si="26"/>
        <v>0</v>
      </c>
    </row>
    <row r="96" spans="1:26" s="24" customFormat="1" hidden="1" outlineLevel="1" x14ac:dyDescent="0.25">
      <c r="A96" s="44"/>
      <c r="B96" s="11" t="str">
        <f>CONCATENATE("          ", "5045", " - ", "PURCHASES @ COST-SPECIAL ORDER")</f>
        <v xml:space="preserve">          5045 - PURCHASES @ COST-SPECIAL ORDER</v>
      </c>
      <c r="C96" s="11"/>
      <c r="D96" s="2">
        <v>0</v>
      </c>
      <c r="E96" s="2"/>
      <c r="F96" s="19">
        <f t="shared" si="19"/>
        <v>0</v>
      </c>
      <c r="G96" s="2"/>
      <c r="H96" s="2">
        <v>52784.12</v>
      </c>
      <c r="I96" s="2"/>
      <c r="J96" s="19">
        <f t="shared" si="20"/>
        <v>0.14231079924166504</v>
      </c>
      <c r="K96" s="2"/>
      <c r="L96" s="2">
        <f t="shared" si="21"/>
        <v>-52784.12</v>
      </c>
      <c r="M96" s="2"/>
      <c r="N96" s="19">
        <f t="shared" si="22"/>
        <v>-1</v>
      </c>
      <c r="O96" s="11"/>
      <c r="P96" s="2">
        <v>0</v>
      </c>
      <c r="Q96" s="2"/>
      <c r="R96" s="19">
        <f t="shared" si="23"/>
        <v>0</v>
      </c>
      <c r="S96" s="2"/>
      <c r="T96" s="2">
        <v>61174.29</v>
      </c>
      <c r="U96" s="2"/>
      <c r="V96" s="19">
        <f t="shared" si="24"/>
        <v>2.7850959511405423E-2</v>
      </c>
      <c r="W96" s="2"/>
      <c r="X96" s="2">
        <f t="shared" si="25"/>
        <v>-61174.29</v>
      </c>
      <c r="Y96" s="2"/>
      <c r="Z96" s="19">
        <f t="shared" si="26"/>
        <v>-1</v>
      </c>
    </row>
    <row r="97" spans="1:26" s="24" customFormat="1" hidden="1" outlineLevel="1" x14ac:dyDescent="0.25">
      <c r="A97" s="44"/>
      <c r="B97" s="11" t="str">
        <f>CONCATENATE("          ", "5053", " - ", "PURCHASES @ COST-FOOD")</f>
        <v xml:space="preserve">          5053 - PURCHASES @ COST-FOOD</v>
      </c>
      <c r="C97" s="11"/>
      <c r="D97" s="2">
        <v>8370.32</v>
      </c>
      <c r="E97" s="2"/>
      <c r="F97" s="19">
        <f t="shared" si="19"/>
        <v>1.3937396408058973E-2</v>
      </c>
      <c r="G97" s="2"/>
      <c r="H97" s="2">
        <v>53.15</v>
      </c>
      <c r="I97" s="2"/>
      <c r="J97" s="19">
        <f t="shared" si="20"/>
        <v>1.4329724507474023E-4</v>
      </c>
      <c r="K97" s="2"/>
      <c r="L97" s="2">
        <f t="shared" si="21"/>
        <v>8317.17</v>
      </c>
      <c r="M97" s="2"/>
      <c r="N97" s="19">
        <f t="shared" si="22"/>
        <v>156.4848541862653</v>
      </c>
      <c r="O97" s="11"/>
      <c r="P97" s="2">
        <v>23355.88</v>
      </c>
      <c r="Q97" s="2"/>
      <c r="R97" s="19">
        <f t="shared" si="23"/>
        <v>9.9789134767657856E-3</v>
      </c>
      <c r="S97" s="2"/>
      <c r="T97" s="2">
        <v>-2285.4</v>
      </c>
      <c r="U97" s="2"/>
      <c r="V97" s="19">
        <f t="shared" si="24"/>
        <v>-1.0404793070318587E-3</v>
      </c>
      <c r="W97" s="2"/>
      <c r="X97" s="2">
        <f t="shared" si="25"/>
        <v>25641.280000000002</v>
      </c>
      <c r="Y97" s="2"/>
      <c r="Z97" s="19">
        <f t="shared" si="26"/>
        <v>-11.219602695370614</v>
      </c>
    </row>
    <row r="98" spans="1:26" s="24" customFormat="1" hidden="1" outlineLevel="1" x14ac:dyDescent="0.25">
      <c r="A98" s="44"/>
      <c r="B98" s="11" t="str">
        <f>CONCATENATE("          ", "5059", " - ", "PURCHASES @ COST-FOOD")</f>
        <v xml:space="preserve">          5059 - PURCHASES @ COST-FOOD</v>
      </c>
      <c r="C98" s="11"/>
      <c r="D98" s="2">
        <v>-398.6</v>
      </c>
      <c r="E98" s="2"/>
      <c r="F98" s="19">
        <f t="shared" si="19"/>
        <v>-6.6370774453692423E-4</v>
      </c>
      <c r="G98" s="2"/>
      <c r="H98" s="2"/>
      <c r="I98" s="2"/>
      <c r="J98" s="19">
        <f t="shared" si="20"/>
        <v>0</v>
      </c>
      <c r="K98" s="2"/>
      <c r="L98" s="2">
        <f t="shared" si="21"/>
        <v>-398.6</v>
      </c>
      <c r="M98" s="2"/>
      <c r="N98" s="19">
        <f t="shared" si="22"/>
        <v>0</v>
      </c>
      <c r="O98" s="11"/>
      <c r="P98" s="2">
        <v>-12137.6</v>
      </c>
      <c r="Q98" s="2"/>
      <c r="R98" s="19">
        <f t="shared" si="23"/>
        <v>-5.1858487119985372E-3</v>
      </c>
      <c r="S98" s="2"/>
      <c r="T98" s="2">
        <v>68.91</v>
      </c>
      <c r="U98" s="2"/>
      <c r="V98" s="19">
        <f t="shared" si="24"/>
        <v>3.1372813970230753E-5</v>
      </c>
      <c r="W98" s="2"/>
      <c r="X98" s="2">
        <f t="shared" si="25"/>
        <v>-12206.51</v>
      </c>
      <c r="Y98" s="2"/>
      <c r="Z98" s="19">
        <f t="shared" si="26"/>
        <v>-177.13699027717314</v>
      </c>
    </row>
    <row r="99" spans="1:26" s="24" customFormat="1" hidden="1" outlineLevel="1" x14ac:dyDescent="0.25">
      <c r="A99" s="44"/>
      <c r="B99" s="11" t="str">
        <f>CONCATENATE("          ", "5092", " - ", "PURCHASES @ COST-GRAD MERCH")</f>
        <v xml:space="preserve">          5092 - PURCHASES @ COST-GRAD MERCH</v>
      </c>
      <c r="C99" s="11"/>
      <c r="D99" s="2"/>
      <c r="E99" s="2"/>
      <c r="F99" s="19">
        <f t="shared" si="19"/>
        <v>0</v>
      </c>
      <c r="G99" s="2"/>
      <c r="H99" s="2"/>
      <c r="I99" s="2"/>
      <c r="J99" s="19">
        <f t="shared" si="20"/>
        <v>0</v>
      </c>
      <c r="K99" s="2"/>
      <c r="L99" s="2">
        <f t="shared" si="21"/>
        <v>0</v>
      </c>
      <c r="M99" s="2"/>
      <c r="N99" s="19">
        <f t="shared" si="22"/>
        <v>0</v>
      </c>
      <c r="O99" s="11"/>
      <c r="P99" s="2"/>
      <c r="Q99" s="2"/>
      <c r="R99" s="19">
        <f t="shared" si="23"/>
        <v>0</v>
      </c>
      <c r="S99" s="2"/>
      <c r="T99" s="2">
        <v>0</v>
      </c>
      <c r="U99" s="2"/>
      <c r="V99" s="19">
        <f t="shared" si="24"/>
        <v>0</v>
      </c>
      <c r="W99" s="2"/>
      <c r="X99" s="2">
        <f t="shared" si="25"/>
        <v>0</v>
      </c>
      <c r="Y99" s="2"/>
      <c r="Z99" s="19">
        <f t="shared" si="26"/>
        <v>0</v>
      </c>
    </row>
    <row r="100" spans="1:26" s="24" customFormat="1" hidden="1" outlineLevel="1" x14ac:dyDescent="0.25">
      <c r="A100" s="44"/>
      <c r="B100" s="11" t="str">
        <f>CONCATENATE("          ", "5200", " - ", "PURCHASES OFFSET")</f>
        <v xml:space="preserve">          5200 - PURCHASES OFFSET</v>
      </c>
      <c r="C100" s="11"/>
      <c r="D100" s="2">
        <v>-697456.98</v>
      </c>
      <c r="E100" s="2"/>
      <c r="F100" s="19">
        <f t="shared" si="19"/>
        <v>-1.1613336655979292</v>
      </c>
      <c r="G100" s="2"/>
      <c r="H100" s="2">
        <v>-821971.1</v>
      </c>
      <c r="I100" s="2"/>
      <c r="J100" s="19">
        <f t="shared" si="20"/>
        <v>-2.2161090152597138</v>
      </c>
      <c r="K100" s="2"/>
      <c r="L100" s="2">
        <f t="shared" si="21"/>
        <v>124514.12</v>
      </c>
      <c r="M100" s="2"/>
      <c r="N100" s="19">
        <f t="shared" si="22"/>
        <v>-0.15148235746974559</v>
      </c>
      <c r="O100" s="11"/>
      <c r="P100" s="2">
        <v>-1347625.63</v>
      </c>
      <c r="Q100" s="2"/>
      <c r="R100" s="19">
        <f t="shared" si="23"/>
        <v>-0.57577961356377838</v>
      </c>
      <c r="S100" s="2"/>
      <c r="T100" s="2">
        <v>-1534973.68</v>
      </c>
      <c r="U100" s="2"/>
      <c r="V100" s="19">
        <f t="shared" si="24"/>
        <v>-0.69883099277086802</v>
      </c>
      <c r="W100" s="2"/>
      <c r="X100" s="2">
        <f t="shared" si="25"/>
        <v>187348.05000000005</v>
      </c>
      <c r="Y100" s="2"/>
      <c r="Z100" s="19">
        <f t="shared" si="26"/>
        <v>-0.12205293969600838</v>
      </c>
    </row>
    <row r="101" spans="1:26" s="24" customFormat="1" hidden="1" outlineLevel="1" x14ac:dyDescent="0.25">
      <c r="A101" s="44"/>
      <c r="B101" s="11" t="str">
        <f>CONCATENATE("          ", "5300", " - ", "COG$ OFFSET")</f>
        <v xml:space="preserve">          5300 - COG$ OFFSET</v>
      </c>
      <c r="C101" s="11"/>
      <c r="D101" s="2">
        <v>339299.2</v>
      </c>
      <c r="E101" s="2"/>
      <c r="F101" s="19">
        <f t="shared" si="19"/>
        <v>0.56496614840738268</v>
      </c>
      <c r="G101" s="2"/>
      <c r="H101" s="2">
        <v>204421</v>
      </c>
      <c r="I101" s="2"/>
      <c r="J101" s="19">
        <f t="shared" si="20"/>
        <v>0.55113765071351783</v>
      </c>
      <c r="K101" s="2"/>
      <c r="L101" s="2">
        <f t="shared" si="21"/>
        <v>134878.20000000001</v>
      </c>
      <c r="M101" s="2"/>
      <c r="N101" s="19">
        <f t="shared" si="22"/>
        <v>0.65980598862152129</v>
      </c>
      <c r="O101" s="11"/>
      <c r="P101" s="2">
        <v>1254097.95</v>
      </c>
      <c r="Q101" s="2"/>
      <c r="R101" s="19">
        <f t="shared" si="23"/>
        <v>0.53581945678943987</v>
      </c>
      <c r="S101" s="2"/>
      <c r="T101" s="2">
        <v>1110478</v>
      </c>
      <c r="U101" s="2"/>
      <c r="V101" s="19">
        <f t="shared" si="24"/>
        <v>0.50556986956949512</v>
      </c>
      <c r="W101" s="2"/>
      <c r="X101" s="2">
        <f t="shared" si="25"/>
        <v>143619.94999999995</v>
      </c>
      <c r="Y101" s="2"/>
      <c r="Z101" s="19">
        <f t="shared" si="26"/>
        <v>0.129331648173129</v>
      </c>
    </row>
    <row r="102" spans="1:26" s="24" customFormat="1" hidden="1" outlineLevel="1" x14ac:dyDescent="0.25">
      <c r="A102" s="44"/>
      <c r="B102" s="11" t="str">
        <f>CONCATENATE("          ", "5500", " - ", "FREIGHT-IN")</f>
        <v xml:space="preserve">          5500 - FREIGHT-IN</v>
      </c>
      <c r="C102" s="11"/>
      <c r="D102" s="2">
        <v>17166.12</v>
      </c>
      <c r="E102" s="2"/>
      <c r="F102" s="19">
        <f t="shared" si="19"/>
        <v>2.8583258373432473E-2</v>
      </c>
      <c r="G102" s="2"/>
      <c r="H102" s="2">
        <v>0</v>
      </c>
      <c r="I102" s="2"/>
      <c r="J102" s="19">
        <f t="shared" si="20"/>
        <v>0</v>
      </c>
      <c r="K102" s="2"/>
      <c r="L102" s="2">
        <f t="shared" si="21"/>
        <v>17166.12</v>
      </c>
      <c r="M102" s="2"/>
      <c r="N102" s="19">
        <f t="shared" si="22"/>
        <v>0</v>
      </c>
      <c r="O102" s="11"/>
      <c r="P102" s="2">
        <v>27340.79</v>
      </c>
      <c r="Q102" s="2"/>
      <c r="R102" s="19">
        <f t="shared" si="23"/>
        <v>1.1681485681396857E-2</v>
      </c>
      <c r="S102" s="2"/>
      <c r="T102" s="2">
        <v>0</v>
      </c>
      <c r="U102" s="2"/>
      <c r="V102" s="19">
        <f t="shared" si="24"/>
        <v>0</v>
      </c>
      <c r="W102" s="2"/>
      <c r="X102" s="2">
        <f t="shared" si="25"/>
        <v>27340.79</v>
      </c>
      <c r="Y102" s="2"/>
      <c r="Z102" s="19">
        <f t="shared" si="26"/>
        <v>0</v>
      </c>
    </row>
    <row r="103" spans="1:26" s="24" customFormat="1" hidden="1" outlineLevel="1" x14ac:dyDescent="0.25">
      <c r="A103" s="44"/>
      <c r="B103" s="11" t="str">
        <f>CONCATENATE("          ", "5501", " - ", "FREIGHT-IN-NEW TEXT")</f>
        <v xml:space="preserve">          5501 - FREIGHT-IN-NEW TEXT</v>
      </c>
      <c r="C103" s="11"/>
      <c r="D103" s="2">
        <v>0</v>
      </c>
      <c r="E103" s="2"/>
      <c r="F103" s="19">
        <f t="shared" si="19"/>
        <v>0</v>
      </c>
      <c r="G103" s="2"/>
      <c r="H103" s="2">
        <v>5279.6</v>
      </c>
      <c r="I103" s="2"/>
      <c r="J103" s="19">
        <f t="shared" si="20"/>
        <v>1.4234282880462813E-2</v>
      </c>
      <c r="K103" s="2"/>
      <c r="L103" s="2">
        <f t="shared" si="21"/>
        <v>-5279.6</v>
      </c>
      <c r="M103" s="2"/>
      <c r="N103" s="19">
        <f t="shared" si="22"/>
        <v>-1</v>
      </c>
      <c r="O103" s="11"/>
      <c r="P103" s="2">
        <v>0</v>
      </c>
      <c r="Q103" s="2"/>
      <c r="R103" s="19">
        <f t="shared" si="23"/>
        <v>0</v>
      </c>
      <c r="S103" s="2"/>
      <c r="T103" s="2">
        <v>10762.88</v>
      </c>
      <c r="U103" s="2"/>
      <c r="V103" s="19">
        <f t="shared" si="24"/>
        <v>4.9000410974302305E-3</v>
      </c>
      <c r="W103" s="2"/>
      <c r="X103" s="2">
        <f t="shared" si="25"/>
        <v>-10762.88</v>
      </c>
      <c r="Y103" s="2"/>
      <c r="Z103" s="19">
        <f t="shared" si="26"/>
        <v>-1</v>
      </c>
    </row>
    <row r="104" spans="1:26" s="24" customFormat="1" hidden="1" outlineLevel="1" x14ac:dyDescent="0.25">
      <c r="A104" s="44"/>
      <c r="B104" s="11" t="str">
        <f>CONCATENATE("          ", "5502", " - ", "FREIGHT-IN-USED TEXT")</f>
        <v xml:space="preserve">          5502 - FREIGHT-IN-USED TEXT</v>
      </c>
      <c r="C104" s="11"/>
      <c r="D104" s="2">
        <v>0</v>
      </c>
      <c r="E104" s="2"/>
      <c r="F104" s="19">
        <f t="shared" si="19"/>
        <v>0</v>
      </c>
      <c r="G104" s="2"/>
      <c r="H104" s="2">
        <v>7276.27</v>
      </c>
      <c r="I104" s="2"/>
      <c r="J104" s="19">
        <f t="shared" si="20"/>
        <v>1.9617487213922487E-2</v>
      </c>
      <c r="K104" s="2"/>
      <c r="L104" s="2">
        <f t="shared" si="21"/>
        <v>-7276.27</v>
      </c>
      <c r="M104" s="2"/>
      <c r="N104" s="19">
        <f t="shared" si="22"/>
        <v>-1</v>
      </c>
      <c r="O104" s="11"/>
      <c r="P104" s="2">
        <v>0</v>
      </c>
      <c r="Q104" s="2"/>
      <c r="R104" s="19">
        <f t="shared" si="23"/>
        <v>0</v>
      </c>
      <c r="S104" s="2"/>
      <c r="T104" s="2">
        <v>8510.82</v>
      </c>
      <c r="U104" s="2"/>
      <c r="V104" s="19">
        <f t="shared" si="24"/>
        <v>3.8747405687725922E-3</v>
      </c>
      <c r="W104" s="2"/>
      <c r="X104" s="2">
        <f t="shared" si="25"/>
        <v>-8510.82</v>
      </c>
      <c r="Y104" s="2"/>
      <c r="Z104" s="19">
        <f t="shared" si="26"/>
        <v>-1</v>
      </c>
    </row>
    <row r="105" spans="1:26" s="24" customFormat="1" hidden="1" outlineLevel="1" x14ac:dyDescent="0.25">
      <c r="A105" s="44"/>
      <c r="B105" s="11" t="str">
        <f>CONCATENATE("          ", "5504", " - ", "FREIGHT-IN-DIGITAL TEXT")</f>
        <v xml:space="preserve">          5504 - FREIGHT-IN-DIGITAL TEXT</v>
      </c>
      <c r="C105" s="11"/>
      <c r="D105" s="2"/>
      <c r="E105" s="2"/>
      <c r="F105" s="19">
        <f t="shared" si="19"/>
        <v>0</v>
      </c>
      <c r="G105" s="2"/>
      <c r="H105" s="2">
        <v>10.99</v>
      </c>
      <c r="I105" s="2"/>
      <c r="J105" s="19">
        <f t="shared" si="20"/>
        <v>2.9630041832011195E-5</v>
      </c>
      <c r="K105" s="2"/>
      <c r="L105" s="2">
        <f t="shared" si="21"/>
        <v>-10.99</v>
      </c>
      <c r="M105" s="2"/>
      <c r="N105" s="19">
        <f t="shared" si="22"/>
        <v>-1</v>
      </c>
      <c r="O105" s="11"/>
      <c r="P105" s="2"/>
      <c r="Q105" s="2"/>
      <c r="R105" s="19">
        <f t="shared" si="23"/>
        <v>0</v>
      </c>
      <c r="S105" s="2"/>
      <c r="T105" s="2">
        <v>10.99</v>
      </c>
      <c r="U105" s="2"/>
      <c r="V105" s="19">
        <f t="shared" si="24"/>
        <v>5.0034425414720077E-6</v>
      </c>
      <c r="W105" s="2"/>
      <c r="X105" s="2">
        <f t="shared" si="25"/>
        <v>-10.99</v>
      </c>
      <c r="Y105" s="2"/>
      <c r="Z105" s="19">
        <f t="shared" si="26"/>
        <v>-1</v>
      </c>
    </row>
    <row r="106" spans="1:26" s="24" customFormat="1" hidden="1" outlineLevel="1" x14ac:dyDescent="0.25">
      <c r="A106" s="44"/>
      <c r="B106" s="11" t="str">
        <f>CONCATENATE("          ", "5518", " - ", "FREIGHT-IN-STUDY GUIDES")</f>
        <v xml:space="preserve">          5518 - FREIGHT-IN-STUDY GUIDES</v>
      </c>
      <c r="C106" s="11"/>
      <c r="D106" s="2"/>
      <c r="E106" s="2"/>
      <c r="F106" s="19">
        <f t="shared" si="19"/>
        <v>0</v>
      </c>
      <c r="G106" s="2"/>
      <c r="H106" s="2"/>
      <c r="I106" s="2"/>
      <c r="J106" s="19">
        <f t="shared" si="20"/>
        <v>0</v>
      </c>
      <c r="K106" s="2"/>
      <c r="L106" s="2">
        <f t="shared" si="21"/>
        <v>0</v>
      </c>
      <c r="M106" s="2"/>
      <c r="N106" s="19">
        <f t="shared" si="22"/>
        <v>0</v>
      </c>
      <c r="O106" s="11"/>
      <c r="P106" s="2">
        <v>0</v>
      </c>
      <c r="Q106" s="2"/>
      <c r="R106" s="19">
        <f t="shared" si="23"/>
        <v>0</v>
      </c>
      <c r="S106" s="2"/>
      <c r="T106" s="2"/>
      <c r="U106" s="2"/>
      <c r="V106" s="19">
        <f t="shared" si="24"/>
        <v>0</v>
      </c>
      <c r="W106" s="2"/>
      <c r="X106" s="2">
        <f t="shared" si="25"/>
        <v>0</v>
      </c>
      <c r="Y106" s="2"/>
      <c r="Z106" s="19">
        <f t="shared" si="26"/>
        <v>0</v>
      </c>
    </row>
    <row r="107" spans="1:26" s="24" customFormat="1" hidden="1" outlineLevel="1" x14ac:dyDescent="0.25">
      <c r="A107" s="44"/>
      <c r="B107" s="11" t="str">
        <f>CONCATENATE("          ", "5527", " - ", "FREIGHT-IN-SCHOOL SUPPLIES")</f>
        <v xml:space="preserve">          5527 - FREIGHT-IN-SCHOOL SUPPLIES</v>
      </c>
      <c r="C107" s="11"/>
      <c r="D107" s="2"/>
      <c r="E107" s="2"/>
      <c r="F107" s="19">
        <f t="shared" si="19"/>
        <v>0</v>
      </c>
      <c r="G107" s="2"/>
      <c r="H107" s="2"/>
      <c r="I107" s="2"/>
      <c r="J107" s="19">
        <f t="shared" si="20"/>
        <v>0</v>
      </c>
      <c r="K107" s="2"/>
      <c r="L107" s="2">
        <f t="shared" si="21"/>
        <v>0</v>
      </c>
      <c r="M107" s="2"/>
      <c r="N107" s="19">
        <f t="shared" si="22"/>
        <v>0</v>
      </c>
      <c r="O107" s="11"/>
      <c r="P107" s="2">
        <v>0</v>
      </c>
      <c r="Q107" s="2"/>
      <c r="R107" s="19">
        <f t="shared" si="23"/>
        <v>0</v>
      </c>
      <c r="S107" s="2"/>
      <c r="T107" s="2"/>
      <c r="U107" s="2"/>
      <c r="V107" s="19">
        <f t="shared" si="24"/>
        <v>0</v>
      </c>
      <c r="W107" s="2"/>
      <c r="X107" s="2">
        <f t="shared" si="25"/>
        <v>0</v>
      </c>
      <c r="Y107" s="2"/>
      <c r="Z107" s="19">
        <f t="shared" si="26"/>
        <v>0</v>
      </c>
    </row>
    <row r="108" spans="1:26" s="24" customFormat="1" hidden="1" outlineLevel="1" x14ac:dyDescent="0.25">
      <c r="A108" s="44"/>
      <c r="B108" s="11" t="str">
        <f>CONCATENATE("          ", "5528", " - ", "FREIGHT-IN-ART/TECH")</f>
        <v xml:space="preserve">          5528 - FREIGHT-IN-ART/TECH</v>
      </c>
      <c r="C108" s="11"/>
      <c r="D108" s="2">
        <v>0</v>
      </c>
      <c r="E108" s="2"/>
      <c r="F108" s="19">
        <f t="shared" si="19"/>
        <v>0</v>
      </c>
      <c r="G108" s="2"/>
      <c r="H108" s="2">
        <v>6.76</v>
      </c>
      <c r="I108" s="2"/>
      <c r="J108" s="19">
        <f t="shared" si="20"/>
        <v>1.8225576231519168E-5</v>
      </c>
      <c r="K108" s="2"/>
      <c r="L108" s="2">
        <f t="shared" si="21"/>
        <v>-6.76</v>
      </c>
      <c r="M108" s="2"/>
      <c r="N108" s="19">
        <f t="shared" si="22"/>
        <v>-1</v>
      </c>
      <c r="O108" s="11"/>
      <c r="P108" s="2">
        <v>0</v>
      </c>
      <c r="Q108" s="2"/>
      <c r="R108" s="19">
        <f t="shared" si="23"/>
        <v>0</v>
      </c>
      <c r="S108" s="2"/>
      <c r="T108" s="2">
        <v>44.81</v>
      </c>
      <c r="U108" s="2"/>
      <c r="V108" s="19">
        <f t="shared" si="24"/>
        <v>2.0400751618140188E-5</v>
      </c>
      <c r="W108" s="2"/>
      <c r="X108" s="2">
        <f t="shared" si="25"/>
        <v>-44.81</v>
      </c>
      <c r="Y108" s="2"/>
      <c r="Z108" s="19">
        <f t="shared" si="26"/>
        <v>-1</v>
      </c>
    </row>
    <row r="109" spans="1:26" s="24" customFormat="1" hidden="1" outlineLevel="1" x14ac:dyDescent="0.25">
      <c r="A109" s="44"/>
      <c r="B109" s="11" t="str">
        <f>CONCATENATE("          ", "5540", " - ", "FREIGHT-IN-LOGO CLOTHING")</f>
        <v xml:space="preserve">          5540 - FREIGHT-IN-LOGO CLOTHING</v>
      </c>
      <c r="C109" s="11"/>
      <c r="D109" s="2"/>
      <c r="E109" s="2"/>
      <c r="F109" s="19">
        <f t="shared" si="19"/>
        <v>0</v>
      </c>
      <c r="G109" s="2"/>
      <c r="H109" s="2">
        <v>234.23</v>
      </c>
      <c r="I109" s="2"/>
      <c r="J109" s="19">
        <f t="shared" si="20"/>
        <v>6.315054320575052E-4</v>
      </c>
      <c r="K109" s="2"/>
      <c r="L109" s="2">
        <f t="shared" si="21"/>
        <v>-234.23</v>
      </c>
      <c r="M109" s="2"/>
      <c r="N109" s="19">
        <f t="shared" si="22"/>
        <v>-1</v>
      </c>
      <c r="O109" s="11"/>
      <c r="P109" s="2">
        <v>0</v>
      </c>
      <c r="Q109" s="2"/>
      <c r="R109" s="19">
        <f t="shared" si="23"/>
        <v>0</v>
      </c>
      <c r="S109" s="2"/>
      <c r="T109" s="2">
        <v>2165.7600000000002</v>
      </c>
      <c r="U109" s="2"/>
      <c r="V109" s="19">
        <f t="shared" si="24"/>
        <v>9.860105294466257E-4</v>
      </c>
      <c r="W109" s="2"/>
      <c r="X109" s="2">
        <f t="shared" si="25"/>
        <v>-2165.7600000000002</v>
      </c>
      <c r="Y109" s="2"/>
      <c r="Z109" s="19">
        <f t="shared" si="26"/>
        <v>-1</v>
      </c>
    </row>
    <row r="110" spans="1:26" s="24" customFormat="1" hidden="1" outlineLevel="1" x14ac:dyDescent="0.25">
      <c r="A110" s="44"/>
      <c r="B110" s="11" t="str">
        <f>CONCATENATE("          ", "5541", " - ", "FREIGHT-IN-LOGO GIFTS")</f>
        <v xml:space="preserve">          5541 - FREIGHT-IN-LOGO GIFTS</v>
      </c>
      <c r="C110" s="11"/>
      <c r="D110" s="2">
        <v>0</v>
      </c>
      <c r="E110" s="2"/>
      <c r="F110" s="19">
        <f t="shared" si="19"/>
        <v>0</v>
      </c>
      <c r="G110" s="2"/>
      <c r="H110" s="2">
        <v>154.41</v>
      </c>
      <c r="I110" s="2"/>
      <c r="J110" s="19">
        <f t="shared" si="20"/>
        <v>4.1630343578533656E-4</v>
      </c>
      <c r="K110" s="2"/>
      <c r="L110" s="2">
        <f t="shared" si="21"/>
        <v>-154.41</v>
      </c>
      <c r="M110" s="2"/>
      <c r="N110" s="19">
        <f t="shared" si="22"/>
        <v>-1</v>
      </c>
      <c r="O110" s="11"/>
      <c r="P110" s="2">
        <v>0</v>
      </c>
      <c r="Q110" s="2"/>
      <c r="R110" s="19">
        <f t="shared" si="23"/>
        <v>0</v>
      </c>
      <c r="S110" s="2"/>
      <c r="T110" s="2">
        <v>361.11</v>
      </c>
      <c r="U110" s="2"/>
      <c r="V110" s="19">
        <f t="shared" si="24"/>
        <v>1.6440337908561935E-4</v>
      </c>
      <c r="W110" s="2"/>
      <c r="X110" s="2">
        <f t="shared" si="25"/>
        <v>-361.11</v>
      </c>
      <c r="Y110" s="2"/>
      <c r="Z110" s="19">
        <f t="shared" si="26"/>
        <v>-1</v>
      </c>
    </row>
    <row r="111" spans="1:26" s="24" customFormat="1" hidden="1" outlineLevel="1" x14ac:dyDescent="0.25">
      <c r="A111" s="44"/>
      <c r="B111" s="11" t="str">
        <f>CONCATENATE("          ", "5542", " - ", "FREIGHT-IN-EVERYDAY GIFTS")</f>
        <v xml:space="preserve">          5542 - FREIGHT-IN-EVERYDAY GIFTS</v>
      </c>
      <c r="C111" s="11"/>
      <c r="D111" s="2"/>
      <c r="E111" s="2"/>
      <c r="F111" s="19">
        <f t="shared" si="19"/>
        <v>0</v>
      </c>
      <c r="G111" s="2"/>
      <c r="H111" s="2">
        <v>65.44</v>
      </c>
      <c r="I111" s="2"/>
      <c r="J111" s="19">
        <f t="shared" si="20"/>
        <v>1.7643220541281278E-4</v>
      </c>
      <c r="K111" s="2"/>
      <c r="L111" s="2">
        <f t="shared" si="21"/>
        <v>-65.44</v>
      </c>
      <c r="M111" s="2"/>
      <c r="N111" s="19">
        <f t="shared" si="22"/>
        <v>-1</v>
      </c>
      <c r="O111" s="11"/>
      <c r="P111" s="2">
        <v>0</v>
      </c>
      <c r="Q111" s="2"/>
      <c r="R111" s="19">
        <f t="shared" si="23"/>
        <v>0</v>
      </c>
      <c r="S111" s="2"/>
      <c r="T111" s="2">
        <v>71.38</v>
      </c>
      <c r="U111" s="2"/>
      <c r="V111" s="19">
        <f t="shared" si="24"/>
        <v>3.2497336543245844E-5</v>
      </c>
      <c r="W111" s="2"/>
      <c r="X111" s="2">
        <f t="shared" si="25"/>
        <v>-71.38</v>
      </c>
      <c r="Y111" s="2"/>
      <c r="Z111" s="19">
        <f t="shared" si="26"/>
        <v>-1</v>
      </c>
    </row>
    <row r="112" spans="1:26" s="24" customFormat="1" hidden="1" outlineLevel="1" x14ac:dyDescent="0.25">
      <c r="A112" s="44"/>
      <c r="B112" s="11" t="str">
        <f>CONCATENATE("          ", "5543", " - ", "FREIGHT-IN-CARDS")</f>
        <v xml:space="preserve">          5543 - FREIGHT-IN-CARDS</v>
      </c>
      <c r="C112" s="11"/>
      <c r="D112" s="2"/>
      <c r="E112" s="2"/>
      <c r="F112" s="19">
        <f t="shared" si="19"/>
        <v>0</v>
      </c>
      <c r="G112" s="2"/>
      <c r="H112" s="2">
        <v>81.77</v>
      </c>
      <c r="I112" s="2"/>
      <c r="J112" s="19">
        <f t="shared" si="20"/>
        <v>2.2045937403126071E-4</v>
      </c>
      <c r="K112" s="2"/>
      <c r="L112" s="2">
        <f t="shared" si="21"/>
        <v>-81.77</v>
      </c>
      <c r="M112" s="2"/>
      <c r="N112" s="19">
        <f t="shared" si="22"/>
        <v>-1</v>
      </c>
      <c r="O112" s="11"/>
      <c r="P112" s="2"/>
      <c r="Q112" s="2"/>
      <c r="R112" s="19">
        <f t="shared" si="23"/>
        <v>0</v>
      </c>
      <c r="S112" s="2"/>
      <c r="T112" s="2">
        <v>81.77</v>
      </c>
      <c r="U112" s="2"/>
      <c r="V112" s="19">
        <f t="shared" si="24"/>
        <v>3.7227615706657508E-5</v>
      </c>
      <c r="W112" s="2"/>
      <c r="X112" s="2">
        <f t="shared" si="25"/>
        <v>-81.77</v>
      </c>
      <c r="Y112" s="2"/>
      <c r="Z112" s="19">
        <f t="shared" si="26"/>
        <v>-1</v>
      </c>
    </row>
    <row r="113" spans="1:26" s="24" customFormat="1" hidden="1" outlineLevel="1" x14ac:dyDescent="0.25">
      <c r="A113" s="44"/>
      <c r="B113" s="11" t="str">
        <f>CONCATENATE("          ", "5544", " - ", "FREIGHT-IN-ACCESSORIES")</f>
        <v xml:space="preserve">          5544 - FREIGHT-IN-ACCESSORIES</v>
      </c>
      <c r="C113" s="11"/>
      <c r="D113" s="2"/>
      <c r="E113" s="2"/>
      <c r="F113" s="19">
        <f t="shared" si="19"/>
        <v>0</v>
      </c>
      <c r="G113" s="2"/>
      <c r="H113" s="2"/>
      <c r="I113" s="2"/>
      <c r="J113" s="19">
        <f t="shared" si="20"/>
        <v>0</v>
      </c>
      <c r="K113" s="2"/>
      <c r="L113" s="2">
        <f t="shared" si="21"/>
        <v>0</v>
      </c>
      <c r="M113" s="2"/>
      <c r="N113" s="19">
        <f t="shared" si="22"/>
        <v>0</v>
      </c>
      <c r="O113" s="11"/>
      <c r="P113" s="2">
        <v>0</v>
      </c>
      <c r="Q113" s="2"/>
      <c r="R113" s="19">
        <f t="shared" si="23"/>
        <v>0</v>
      </c>
      <c r="S113" s="2"/>
      <c r="T113" s="2"/>
      <c r="U113" s="2"/>
      <c r="V113" s="19">
        <f t="shared" si="24"/>
        <v>0</v>
      </c>
      <c r="W113" s="2"/>
      <c r="X113" s="2">
        <f t="shared" si="25"/>
        <v>0</v>
      </c>
      <c r="Y113" s="2"/>
      <c r="Z113" s="19">
        <f t="shared" si="26"/>
        <v>0</v>
      </c>
    </row>
    <row r="114" spans="1:26" s="24" customFormat="1" hidden="1" outlineLevel="1" x14ac:dyDescent="0.25">
      <c r="A114" s="44"/>
      <c r="B114" s="11" t="str">
        <f>CONCATENATE("          ", "5545", " - ", "FREIGHT-IN-SPECIAL ORDERS")</f>
        <v xml:space="preserve">          5545 - FREIGHT-IN-SPECIAL ORDERS</v>
      </c>
      <c r="C114" s="11"/>
      <c r="D114" s="2"/>
      <c r="E114" s="2"/>
      <c r="F114" s="19">
        <f t="shared" si="19"/>
        <v>0</v>
      </c>
      <c r="G114" s="2"/>
      <c r="H114" s="2">
        <v>214.61</v>
      </c>
      <c r="I114" s="2"/>
      <c r="J114" s="19">
        <f t="shared" si="20"/>
        <v>5.7860812352756349E-4</v>
      </c>
      <c r="K114" s="2"/>
      <c r="L114" s="2">
        <f t="shared" si="21"/>
        <v>-214.61</v>
      </c>
      <c r="M114" s="2"/>
      <c r="N114" s="19">
        <f t="shared" si="22"/>
        <v>-1</v>
      </c>
      <c r="O114" s="11"/>
      <c r="P114" s="2">
        <v>0</v>
      </c>
      <c r="Q114" s="2"/>
      <c r="R114" s="19">
        <f t="shared" si="23"/>
        <v>0</v>
      </c>
      <c r="S114" s="2"/>
      <c r="T114" s="2">
        <v>660.61</v>
      </c>
      <c r="U114" s="2"/>
      <c r="V114" s="19">
        <f t="shared" si="24"/>
        <v>3.007574319674088E-4</v>
      </c>
      <c r="W114" s="2"/>
      <c r="X114" s="2">
        <f t="shared" si="25"/>
        <v>-660.61</v>
      </c>
      <c r="Y114" s="2"/>
      <c r="Z114" s="19">
        <f t="shared" si="26"/>
        <v>-1</v>
      </c>
    </row>
    <row r="115" spans="1:26" s="24" customFormat="1" hidden="1" outlineLevel="1" x14ac:dyDescent="0.25">
      <c r="A115" s="44"/>
      <c r="B115" s="11" t="str">
        <f>CONCATENATE("          ", "5592", " - ", "FREIGHT-IN-GRAD MERCH")</f>
        <v xml:space="preserve">          5592 - FREIGHT-IN-GRAD MERCH</v>
      </c>
      <c r="C115" s="11"/>
      <c r="D115" s="2"/>
      <c r="E115" s="2"/>
      <c r="F115" s="19">
        <f t="shared" si="19"/>
        <v>0</v>
      </c>
      <c r="G115" s="2"/>
      <c r="H115" s="2"/>
      <c r="I115" s="2"/>
      <c r="J115" s="19">
        <f t="shared" si="20"/>
        <v>0</v>
      </c>
      <c r="K115" s="2"/>
      <c r="L115" s="2">
        <f t="shared" si="21"/>
        <v>0</v>
      </c>
      <c r="M115" s="2"/>
      <c r="N115" s="19">
        <f t="shared" si="22"/>
        <v>0</v>
      </c>
      <c r="O115" s="11"/>
      <c r="P115" s="2"/>
      <c r="Q115" s="2"/>
      <c r="R115" s="19">
        <f t="shared" si="23"/>
        <v>0</v>
      </c>
      <c r="S115" s="2"/>
      <c r="T115" s="2">
        <v>0</v>
      </c>
      <c r="U115" s="2"/>
      <c r="V115" s="19">
        <f t="shared" si="24"/>
        <v>0</v>
      </c>
      <c r="W115" s="2"/>
      <c r="X115" s="2">
        <f t="shared" si="25"/>
        <v>0</v>
      </c>
      <c r="Y115" s="2"/>
      <c r="Z115" s="19">
        <f t="shared" si="26"/>
        <v>0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10"/>
      <c r="B117" s="25" t="s">
        <v>107</v>
      </c>
      <c r="C117" s="25"/>
      <c r="D117" s="21">
        <f>D12-D79</f>
        <v>207281.5300000002</v>
      </c>
      <c r="E117" s="13"/>
      <c r="F117" s="22">
        <f>IF(D$12=0,0,D117/D$12)</f>
        <v>0.34514389553553165</v>
      </c>
      <c r="G117" s="13"/>
      <c r="H117" s="21">
        <f>H12-H79</f>
        <v>139713.09</v>
      </c>
      <c r="I117" s="13"/>
      <c r="J117" s="22">
        <f>IF(H$12=0,0,H117/H$12)</f>
        <v>0.37667922667693765</v>
      </c>
      <c r="K117" s="16"/>
      <c r="L117" s="21">
        <f>+D117-H117</f>
        <v>67568.440000000206</v>
      </c>
      <c r="M117" s="16"/>
      <c r="N117" s="22">
        <f>IF(H117=0,0,L117/H117)</f>
        <v>0.4836228301872087</v>
      </c>
      <c r="O117" s="26"/>
      <c r="P117" s="21">
        <f>P12-P79</f>
        <v>824233.36999999965</v>
      </c>
      <c r="Q117" s="13"/>
      <c r="R117" s="22">
        <f>IF(P$12=0,0,P117/P$12)</f>
        <v>0.35215772147712165</v>
      </c>
      <c r="S117" s="13"/>
      <c r="T117" s="21">
        <f>T12-T79</f>
        <v>744744.75999999908</v>
      </c>
      <c r="U117" s="13"/>
      <c r="V117" s="22">
        <f>IF(T$12=0,0,T117/T$12)</f>
        <v>0.3390616573905692</v>
      </c>
      <c r="W117" s="16"/>
      <c r="X117" s="21">
        <f>+P117-T117</f>
        <v>79488.610000000568</v>
      </c>
      <c r="Y117" s="16"/>
      <c r="Z117" s="22">
        <f>IF(T117=0,0,X117/T117)</f>
        <v>0.10673268785402487</v>
      </c>
    </row>
    <row r="118" spans="1:26" x14ac:dyDescent="0.25">
      <c r="A118" s="9"/>
      <c r="B118" s="10"/>
      <c r="C118" s="9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7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3" customFormat="1" x14ac:dyDescent="0.25">
      <c r="A119" s="10"/>
      <c r="B119" s="26" t="s">
        <v>294</v>
      </c>
      <c r="C119" s="10"/>
      <c r="D119" s="20">
        <f>SUM(OSRRefD22x_0)</f>
        <v>310333.57999999984</v>
      </c>
      <c r="E119" s="20"/>
      <c r="F119" s="30">
        <f t="shared" ref="F119:F130" si="27">IF(D$12=0,0,D119/D$12)</f>
        <v>0.51673557560428751</v>
      </c>
      <c r="G119" s="20"/>
      <c r="H119" s="20">
        <f>SUM(OSRRefH22x_0)</f>
        <v>291986.44</v>
      </c>
      <c r="I119" s="20"/>
      <c r="J119" s="30">
        <f t="shared" ref="J119:J130" si="28">IF(H$12=0,0,H119/H$12)</f>
        <v>0.78722205928844646</v>
      </c>
      <c r="K119" s="4"/>
      <c r="L119" s="20">
        <f t="shared" ref="L119:L130" si="29">+D119-H119</f>
        <v>18347.139999999839</v>
      </c>
      <c r="M119" s="4"/>
      <c r="N119" s="30">
        <f t="shared" ref="N119:N130" si="30">IF(H119=0,0,L119/H119)</f>
        <v>6.2835589214347898E-2</v>
      </c>
      <c r="O119" s="10"/>
      <c r="P119" s="20">
        <f>SUM(OSRRefP22x_0)</f>
        <v>1053737.7300000002</v>
      </c>
      <c r="Q119" s="20"/>
      <c r="R119" s="30">
        <f t="shared" ref="R119:R130" si="31">IF(P$12=0,0,P119/P$12)</f>
        <v>0.45021457700902678</v>
      </c>
      <c r="S119" s="20"/>
      <c r="T119" s="20">
        <f>SUM(OSRRefT22x_0)</f>
        <v>899728.87999999966</v>
      </c>
      <c r="U119" s="20"/>
      <c r="V119" s="30">
        <f t="shared" ref="V119:V130" si="32">IF(T$12=0,0,T119/T$12)</f>
        <v>0.40962163366541954</v>
      </c>
      <c r="W119" s="4"/>
      <c r="X119" s="20">
        <f t="shared" ref="X119:X130" si="33">+P119-T119</f>
        <v>154008.85000000056</v>
      </c>
      <c r="Y119" s="4"/>
      <c r="Z119" s="30">
        <f t="shared" ref="Z119:Z130" si="34">IF(T119=0,0,X119/T119)</f>
        <v>0.17117250921188681</v>
      </c>
    </row>
    <row r="120" spans="1:26" s="27" customFormat="1" outlineLevel="1" collapsed="1" x14ac:dyDescent="0.25">
      <c r="A120" s="29"/>
      <c r="B120" s="14" t="str">
        <f>CONCATENATE("     ","*Benefits                                         ")</f>
        <v xml:space="preserve">     *Benefits                                         </v>
      </c>
      <c r="C120" s="14"/>
      <c r="D120" s="1">
        <f>SUM(OSRRefD22_0x_0)</f>
        <v>46350.500000000007</v>
      </c>
      <c r="E120" s="1"/>
      <c r="F120" s="5">
        <f t="shared" si="27"/>
        <v>7.7178087840337944E-2</v>
      </c>
      <c r="G120" s="1"/>
      <c r="H120" s="1">
        <f>SUM(OSRRefH22_0x_0)</f>
        <v>52903.110000000008</v>
      </c>
      <c r="I120" s="1"/>
      <c r="J120" s="5">
        <f t="shared" si="28"/>
        <v>0.14263160712861603</v>
      </c>
      <c r="K120" s="1"/>
      <c r="L120" s="1">
        <f t="shared" si="29"/>
        <v>-6552.6100000000006</v>
      </c>
      <c r="M120" s="1"/>
      <c r="N120" s="5">
        <f t="shared" si="30"/>
        <v>-0.12386058210944498</v>
      </c>
      <c r="O120" s="14"/>
      <c r="P120" s="1">
        <f>SUM(OSRRefP22_0x_0)</f>
        <v>146157.14999999997</v>
      </c>
      <c r="Q120" s="1"/>
      <c r="R120" s="5">
        <f t="shared" si="31"/>
        <v>6.2446354145537571E-2</v>
      </c>
      <c r="S120" s="1"/>
      <c r="T120" s="1">
        <f>SUM(OSRRefT22_0x_0)</f>
        <v>153954.12000000002</v>
      </c>
      <c r="U120" s="1"/>
      <c r="V120" s="5">
        <f t="shared" si="32"/>
        <v>7.0091045809179839E-2</v>
      </c>
      <c r="W120" s="1"/>
      <c r="X120" s="1">
        <f t="shared" si="33"/>
        <v>-7796.9700000000594</v>
      </c>
      <c r="Y120" s="1"/>
      <c r="Z120" s="5">
        <f t="shared" si="34"/>
        <v>-5.0644763517858814E-2</v>
      </c>
    </row>
    <row r="121" spans="1:26" s="24" customFormat="1" hidden="1" outlineLevel="2" x14ac:dyDescent="0.25">
      <c r="A121" s="28"/>
      <c r="B121" s="11" t="str">
        <f>CONCATENATE("          ", "6111", " - ", "F.I.C.A.")</f>
        <v xml:space="preserve">          6111 - F.I.C.A.</v>
      </c>
      <c r="C121" s="11"/>
      <c r="D121" s="7">
        <v>7763.04</v>
      </c>
      <c r="E121" s="2"/>
      <c r="F121" s="6">
        <f t="shared" si="27"/>
        <v>1.2926216179503069E-2</v>
      </c>
      <c r="G121" s="2"/>
      <c r="H121" s="7">
        <v>12116.03</v>
      </c>
      <c r="I121" s="2"/>
      <c r="J121" s="6">
        <f t="shared" si="28"/>
        <v>3.2665921359226809E-2</v>
      </c>
      <c r="K121" s="2"/>
      <c r="L121" s="7">
        <f t="shared" si="29"/>
        <v>-4352.9900000000007</v>
      </c>
      <c r="M121" s="2"/>
      <c r="N121" s="6">
        <f t="shared" si="30"/>
        <v>-0.35927527416158594</v>
      </c>
      <c r="O121" s="11"/>
      <c r="P121" s="7">
        <v>29879.200000000001</v>
      </c>
      <c r="Q121" s="2"/>
      <c r="R121" s="6">
        <f t="shared" si="31"/>
        <v>1.27660337163481E-2</v>
      </c>
      <c r="S121" s="2"/>
      <c r="T121" s="7">
        <v>31956.52</v>
      </c>
      <c r="U121" s="2"/>
      <c r="V121" s="6">
        <f t="shared" si="32"/>
        <v>1.4548918257088355E-2</v>
      </c>
      <c r="W121" s="2"/>
      <c r="X121" s="7">
        <f t="shared" si="33"/>
        <v>-2077.3199999999997</v>
      </c>
      <c r="Y121" s="2"/>
      <c r="Z121" s="6">
        <f t="shared" si="34"/>
        <v>-6.5004574966235365E-2</v>
      </c>
    </row>
    <row r="122" spans="1:26" s="24" customFormat="1" hidden="1" outlineLevel="2" x14ac:dyDescent="0.25">
      <c r="A122" s="28"/>
      <c r="B122" s="11" t="str">
        <f>CONCATENATE("          ", "6112", " - ", "COMPENSATION INSURANCE")</f>
        <v xml:space="preserve">          6112 - COMPENSATION INSURANCE</v>
      </c>
      <c r="C122" s="11"/>
      <c r="D122" s="7">
        <v>2568.84</v>
      </c>
      <c r="E122" s="2"/>
      <c r="F122" s="6">
        <f t="shared" si="27"/>
        <v>4.2773682952238646E-3</v>
      </c>
      <c r="G122" s="2"/>
      <c r="H122" s="7">
        <v>4233.78</v>
      </c>
      <c r="I122" s="2"/>
      <c r="J122" s="6">
        <f t="shared" si="28"/>
        <v>1.1414656825071187E-2</v>
      </c>
      <c r="K122" s="2"/>
      <c r="L122" s="7">
        <f t="shared" si="29"/>
        <v>-1664.9399999999996</v>
      </c>
      <c r="M122" s="2"/>
      <c r="N122" s="6">
        <f t="shared" si="30"/>
        <v>-0.39325142071623931</v>
      </c>
      <c r="O122" s="11"/>
      <c r="P122" s="7">
        <v>7114.33</v>
      </c>
      <c r="Q122" s="2"/>
      <c r="R122" s="6">
        <f t="shared" si="31"/>
        <v>3.0396321403928744E-3</v>
      </c>
      <c r="S122" s="2"/>
      <c r="T122" s="7">
        <v>8711.15</v>
      </c>
      <c r="U122" s="2"/>
      <c r="V122" s="6">
        <f t="shared" si="32"/>
        <v>3.9659452679839738E-3</v>
      </c>
      <c r="W122" s="2"/>
      <c r="X122" s="7">
        <f t="shared" si="33"/>
        <v>-1596.8199999999997</v>
      </c>
      <c r="Y122" s="2"/>
      <c r="Z122" s="6">
        <f t="shared" si="34"/>
        <v>-0.18330760002984678</v>
      </c>
    </row>
    <row r="123" spans="1:26" s="24" customFormat="1" hidden="1" outlineLevel="2" x14ac:dyDescent="0.25">
      <c r="A123" s="28"/>
      <c r="B123" s="11" t="str">
        <f>CONCATENATE("          ", "6113", " - ", "GROUP INSURANCE")</f>
        <v xml:space="preserve">          6113 - GROUP INSURANCE</v>
      </c>
      <c r="C123" s="11"/>
      <c r="D123" s="7">
        <v>17921.21</v>
      </c>
      <c r="E123" s="2"/>
      <c r="F123" s="6">
        <f t="shared" si="27"/>
        <v>2.9840556619349146E-2</v>
      </c>
      <c r="G123" s="2"/>
      <c r="H123" s="7">
        <v>17485.86</v>
      </c>
      <c r="I123" s="2"/>
      <c r="J123" s="6">
        <f t="shared" si="28"/>
        <v>4.7143472544921863E-2</v>
      </c>
      <c r="K123" s="2"/>
      <c r="L123" s="7">
        <f t="shared" si="29"/>
        <v>435.34999999999854</v>
      </c>
      <c r="M123" s="2"/>
      <c r="N123" s="6">
        <f t="shared" si="30"/>
        <v>2.4897259843095994E-2</v>
      </c>
      <c r="O123" s="11"/>
      <c r="P123" s="7">
        <v>53714.21</v>
      </c>
      <c r="Q123" s="2"/>
      <c r="R123" s="6">
        <f t="shared" si="31"/>
        <v>2.2949657819051457E-2</v>
      </c>
      <c r="S123" s="2"/>
      <c r="T123" s="7">
        <v>53815.44</v>
      </c>
      <c r="U123" s="2"/>
      <c r="V123" s="6">
        <f t="shared" si="32"/>
        <v>2.4500678970339793E-2</v>
      </c>
      <c r="W123" s="2"/>
      <c r="X123" s="7">
        <f t="shared" si="33"/>
        <v>-101.2300000000032</v>
      </c>
      <c r="Y123" s="2"/>
      <c r="Z123" s="6">
        <f t="shared" si="34"/>
        <v>-1.8810586701512278E-3</v>
      </c>
    </row>
    <row r="124" spans="1:26" s="24" customFormat="1" hidden="1" outlineLevel="2" x14ac:dyDescent="0.25">
      <c r="A124" s="28"/>
      <c r="B124" s="11" t="str">
        <f>CONCATENATE("          ", "6114", " - ", "STATE UNEMPLOYMENT INSURANCE")</f>
        <v xml:space="preserve">          6114 - STATE UNEMPLOYMENT INSURANCE</v>
      </c>
      <c r="C124" s="11"/>
      <c r="D124" s="7">
        <v>462.15</v>
      </c>
      <c r="E124" s="2"/>
      <c r="F124" s="6">
        <f t="shared" si="27"/>
        <v>7.6952467169528213E-4</v>
      </c>
      <c r="G124" s="2"/>
      <c r="H124" s="7">
        <v>510.55</v>
      </c>
      <c r="I124" s="2"/>
      <c r="J124" s="6">
        <f t="shared" si="28"/>
        <v>1.3764893409766439E-3</v>
      </c>
      <c r="K124" s="2"/>
      <c r="L124" s="7">
        <f t="shared" si="29"/>
        <v>-48.400000000000034</v>
      </c>
      <c r="M124" s="2"/>
      <c r="N124" s="6">
        <f t="shared" si="30"/>
        <v>-9.4799725785917208E-2</v>
      </c>
      <c r="O124" s="11"/>
      <c r="P124" s="7">
        <v>1285.97</v>
      </c>
      <c r="Q124" s="2"/>
      <c r="R124" s="6">
        <f t="shared" si="31"/>
        <v>5.4943694537377724E-4</v>
      </c>
      <c r="S124" s="2"/>
      <c r="T124" s="7">
        <v>1205.6600000000001</v>
      </c>
      <c r="U124" s="2"/>
      <c r="V124" s="6">
        <f t="shared" si="32"/>
        <v>5.4890359732039497E-4</v>
      </c>
      <c r="W124" s="2"/>
      <c r="X124" s="7">
        <f t="shared" si="33"/>
        <v>80.309999999999945</v>
      </c>
      <c r="Y124" s="2"/>
      <c r="Z124" s="6">
        <f t="shared" si="34"/>
        <v>6.6610818970522317E-2</v>
      </c>
    </row>
    <row r="125" spans="1:26" s="24" customFormat="1" hidden="1" outlineLevel="2" x14ac:dyDescent="0.25">
      <c r="A125" s="28"/>
      <c r="B125" s="11" t="str">
        <f>CONCATENATE("          ", "6115", " - ", "P.E.R.S.")</f>
        <v xml:space="preserve">          6115 - P.E.R.S.</v>
      </c>
      <c r="C125" s="11"/>
      <c r="D125" s="7">
        <v>6296.23</v>
      </c>
      <c r="E125" s="2"/>
      <c r="F125" s="6">
        <f t="shared" si="27"/>
        <v>1.0483834953300847E-2</v>
      </c>
      <c r="G125" s="2"/>
      <c r="H125" s="7">
        <v>6866.1</v>
      </c>
      <c r="I125" s="2"/>
      <c r="J125" s="6">
        <f t="shared" si="28"/>
        <v>1.8511631503436949E-2</v>
      </c>
      <c r="K125" s="2"/>
      <c r="L125" s="7">
        <f t="shared" si="29"/>
        <v>-569.8700000000008</v>
      </c>
      <c r="M125" s="2"/>
      <c r="N125" s="6">
        <f t="shared" si="30"/>
        <v>-8.2997626017681181E-2</v>
      </c>
      <c r="O125" s="11"/>
      <c r="P125" s="7">
        <v>18888.689999999999</v>
      </c>
      <c r="Q125" s="2"/>
      <c r="R125" s="6">
        <f t="shared" si="31"/>
        <v>8.0702847933561538E-3</v>
      </c>
      <c r="S125" s="2"/>
      <c r="T125" s="7">
        <v>23978.12</v>
      </c>
      <c r="U125" s="2"/>
      <c r="V125" s="6">
        <f t="shared" si="32"/>
        <v>1.0916573764560579E-2</v>
      </c>
      <c r="W125" s="2"/>
      <c r="X125" s="7">
        <f t="shared" si="33"/>
        <v>-5089.43</v>
      </c>
      <c r="Y125" s="2"/>
      <c r="Z125" s="6">
        <f t="shared" si="34"/>
        <v>-0.21225308739801121</v>
      </c>
    </row>
    <row r="126" spans="1:26" s="24" customFormat="1" hidden="1" outlineLevel="2" x14ac:dyDescent="0.25">
      <c r="A126" s="28"/>
      <c r="B126" s="11" t="str">
        <f>CONCATENATE("          ", "6116", " - ", "EDUCATIONAL BENEFITS")</f>
        <v xml:space="preserve">          6116 - EDUCATIONAL BENEFITS</v>
      </c>
      <c r="C126" s="11"/>
      <c r="D126" s="7"/>
      <c r="E126" s="2"/>
      <c r="F126" s="6">
        <f t="shared" si="27"/>
        <v>0</v>
      </c>
      <c r="G126" s="2"/>
      <c r="H126" s="7"/>
      <c r="I126" s="2"/>
      <c r="J126" s="6">
        <f t="shared" si="28"/>
        <v>0</v>
      </c>
      <c r="K126" s="2"/>
      <c r="L126" s="7">
        <f t="shared" si="29"/>
        <v>0</v>
      </c>
      <c r="M126" s="2"/>
      <c r="N126" s="6">
        <f t="shared" si="30"/>
        <v>0</v>
      </c>
      <c r="O126" s="11"/>
      <c r="P126" s="7"/>
      <c r="Q126" s="2"/>
      <c r="R126" s="6">
        <f t="shared" si="31"/>
        <v>0</v>
      </c>
      <c r="S126" s="2"/>
      <c r="T126" s="7">
        <v>0</v>
      </c>
      <c r="U126" s="2"/>
      <c r="V126" s="6">
        <f t="shared" si="32"/>
        <v>0</v>
      </c>
      <c r="W126" s="2"/>
      <c r="X126" s="7">
        <f t="shared" si="33"/>
        <v>0</v>
      </c>
      <c r="Y126" s="2"/>
      <c r="Z126" s="6">
        <f t="shared" si="34"/>
        <v>0</v>
      </c>
    </row>
    <row r="127" spans="1:26" s="24" customFormat="1" hidden="1" outlineLevel="2" x14ac:dyDescent="0.25">
      <c r="A127" s="28"/>
      <c r="B127" s="11" t="str">
        <f>CONCATENATE("          ", "6117", " - ", "RETIREMENT STAFF HOURLY")</f>
        <v xml:space="preserve">          6117 - RETIREMENT STAFF HOURLY</v>
      </c>
      <c r="C127" s="11"/>
      <c r="D127" s="7">
        <v>424.12</v>
      </c>
      <c r="E127" s="2"/>
      <c r="F127" s="6">
        <f t="shared" si="27"/>
        <v>7.0620102512042218E-4</v>
      </c>
      <c r="G127" s="2"/>
      <c r="H127" s="7">
        <v>248.98</v>
      </c>
      <c r="I127" s="2"/>
      <c r="J127" s="6">
        <f t="shared" si="28"/>
        <v>6.7127277664550929E-4</v>
      </c>
      <c r="K127" s="2"/>
      <c r="L127" s="7">
        <f t="shared" si="29"/>
        <v>175.14000000000001</v>
      </c>
      <c r="M127" s="2"/>
      <c r="N127" s="6">
        <f t="shared" si="30"/>
        <v>0.70342999437705844</v>
      </c>
      <c r="O127" s="11"/>
      <c r="P127" s="7">
        <v>1939.65</v>
      </c>
      <c r="Q127" s="2"/>
      <c r="R127" s="6">
        <f t="shared" si="31"/>
        <v>8.2872490889697827E-4</v>
      </c>
      <c r="S127" s="2"/>
      <c r="T127" s="7">
        <v>837.77</v>
      </c>
      <c r="U127" s="2"/>
      <c r="V127" s="6">
        <f t="shared" si="32"/>
        <v>3.8141347206269367E-4</v>
      </c>
      <c r="W127" s="2"/>
      <c r="X127" s="7">
        <f t="shared" si="33"/>
        <v>1101.8800000000001</v>
      </c>
      <c r="Y127" s="2"/>
      <c r="Z127" s="6">
        <f t="shared" si="34"/>
        <v>1.3152535898874393</v>
      </c>
    </row>
    <row r="128" spans="1:26" s="24" customFormat="1" hidden="1" outlineLevel="2" x14ac:dyDescent="0.25">
      <c r="A128" s="28"/>
      <c r="B128" s="11" t="str">
        <f>CONCATENATE("          ", "6118", " - ", "VACATION")</f>
        <v xml:space="preserve">          6118 - VACATION</v>
      </c>
      <c r="C128" s="11"/>
      <c r="D128" s="7">
        <v>4674.6000000000004</v>
      </c>
      <c r="E128" s="2"/>
      <c r="F128" s="6">
        <f t="shared" si="27"/>
        <v>7.7836633783550067E-3</v>
      </c>
      <c r="G128" s="2"/>
      <c r="H128" s="7">
        <v>5351.69</v>
      </c>
      <c r="I128" s="2"/>
      <c r="J128" s="6">
        <f t="shared" si="28"/>
        <v>1.4428644092079708E-2</v>
      </c>
      <c r="K128" s="2"/>
      <c r="L128" s="7">
        <f t="shared" si="29"/>
        <v>-677.08999999999924</v>
      </c>
      <c r="M128" s="2"/>
      <c r="N128" s="6">
        <f t="shared" si="30"/>
        <v>-0.12651891271729104</v>
      </c>
      <c r="O128" s="11"/>
      <c r="P128" s="7">
        <v>15625.33</v>
      </c>
      <c r="Q128" s="2"/>
      <c r="R128" s="6">
        <f t="shared" si="31"/>
        <v>6.6759983402857326E-3</v>
      </c>
      <c r="S128" s="2"/>
      <c r="T128" s="7">
        <v>16522.009999999998</v>
      </c>
      <c r="U128" s="2"/>
      <c r="V128" s="6">
        <f t="shared" si="32"/>
        <v>7.5220134399113662E-3</v>
      </c>
      <c r="W128" s="2"/>
      <c r="X128" s="7">
        <f t="shared" si="33"/>
        <v>-896.67999999999847</v>
      </c>
      <c r="Y128" s="2"/>
      <c r="Z128" s="6">
        <f t="shared" si="34"/>
        <v>-5.4271847069454537E-2</v>
      </c>
    </row>
    <row r="129" spans="1:26" s="24" customFormat="1" hidden="1" outlineLevel="2" x14ac:dyDescent="0.25">
      <c r="A129" s="28"/>
      <c r="B129" s="11" t="str">
        <f>CONCATENATE("          ", "6119", " - ", "SICK LEAVE")</f>
        <v xml:space="preserve">          6119 - SICK LEAVE</v>
      </c>
      <c r="C129" s="11"/>
      <c r="D129" s="7">
        <v>3898.37</v>
      </c>
      <c r="E129" s="2"/>
      <c r="F129" s="6">
        <f t="shared" si="27"/>
        <v>6.4911649775976138E-3</v>
      </c>
      <c r="G129" s="2"/>
      <c r="H129" s="7">
        <v>3971.91</v>
      </c>
      <c r="I129" s="2"/>
      <c r="J129" s="6">
        <f t="shared" si="28"/>
        <v>1.07086314333925E-2</v>
      </c>
      <c r="K129" s="2"/>
      <c r="L129" s="7">
        <f t="shared" si="29"/>
        <v>-73.539999999999964</v>
      </c>
      <c r="M129" s="2"/>
      <c r="N129" s="6">
        <f t="shared" si="30"/>
        <v>-1.8515021740170338E-2</v>
      </c>
      <c r="O129" s="11"/>
      <c r="P129" s="7">
        <v>11670.47</v>
      </c>
      <c r="Q129" s="2"/>
      <c r="R129" s="6">
        <f t="shared" si="31"/>
        <v>4.9862651445028317E-3</v>
      </c>
      <c r="S129" s="2"/>
      <c r="T129" s="7">
        <v>12028.36</v>
      </c>
      <c r="U129" s="2"/>
      <c r="V129" s="6">
        <f t="shared" si="32"/>
        <v>5.4761790835432429E-3</v>
      </c>
      <c r="W129" s="2"/>
      <c r="X129" s="7">
        <f t="shared" si="33"/>
        <v>-357.89000000000124</v>
      </c>
      <c r="Y129" s="2"/>
      <c r="Z129" s="6">
        <f t="shared" si="34"/>
        <v>-2.9753848404936434E-2</v>
      </c>
    </row>
    <row r="130" spans="1:26" s="24" customFormat="1" hidden="1" outlineLevel="2" x14ac:dyDescent="0.25">
      <c r="A130" s="28"/>
      <c r="B130" s="11" t="str">
        <f>CONCATENATE("          ", "6156", " - ", "EMPLOYEE MEALS")</f>
        <v xml:space="preserve">          6156 - EMPLOYEE MEALS</v>
      </c>
      <c r="C130" s="11"/>
      <c r="D130" s="7">
        <v>2341.94</v>
      </c>
      <c r="E130" s="2"/>
      <c r="F130" s="6">
        <f t="shared" si="27"/>
        <v>3.8995577401926846E-3</v>
      </c>
      <c r="G130" s="2"/>
      <c r="H130" s="7">
        <v>2118.21</v>
      </c>
      <c r="I130" s="2"/>
      <c r="J130" s="6">
        <f t="shared" si="28"/>
        <v>5.7108872528648259E-3</v>
      </c>
      <c r="K130" s="2"/>
      <c r="L130" s="7">
        <f t="shared" si="29"/>
        <v>223.73000000000002</v>
      </c>
      <c r="M130" s="2"/>
      <c r="N130" s="6">
        <f t="shared" si="30"/>
        <v>0.10562219987631066</v>
      </c>
      <c r="O130" s="11"/>
      <c r="P130" s="7">
        <v>6039.3</v>
      </c>
      <c r="Q130" s="2"/>
      <c r="R130" s="6">
        <f t="shared" si="31"/>
        <v>2.5803203373296838E-3</v>
      </c>
      <c r="S130" s="2"/>
      <c r="T130" s="7">
        <v>4899.09</v>
      </c>
      <c r="U130" s="2"/>
      <c r="V130" s="6">
        <f t="shared" si="32"/>
        <v>2.2304199563694354E-3</v>
      </c>
      <c r="W130" s="2"/>
      <c r="X130" s="7">
        <f t="shared" si="33"/>
        <v>1140.21</v>
      </c>
      <c r="Y130" s="2"/>
      <c r="Z130" s="6">
        <f t="shared" si="34"/>
        <v>0.23273914135074064</v>
      </c>
    </row>
    <row r="131" spans="1:26" s="27" customFormat="1" outlineLevel="1" collapsed="1" x14ac:dyDescent="0.25">
      <c r="A131" s="29"/>
      <c r="B131" s="14" t="str">
        <f>CONCATENATE("     ","*Payroll                                          ")</f>
        <v xml:space="preserve">     *Payroll                                          </v>
      </c>
      <c r="C131" s="14"/>
      <c r="D131" s="1">
        <f>SUM(OSRRefD22_1x_0)</f>
        <v>163102.01</v>
      </c>
      <c r="E131" s="1"/>
      <c r="F131" s="5">
        <f t="shared" ref="F131:F138" si="35">IF(D$12=0,0,D131/D$12)</f>
        <v>0.27158070041780946</v>
      </c>
      <c r="G131" s="1"/>
      <c r="H131" s="1">
        <f>SUM(OSRRefH22_1x_0)</f>
        <v>131236.80000000002</v>
      </c>
      <c r="I131" s="1"/>
      <c r="J131" s="5">
        <f t="shared" ref="J131:J138" si="36">IF(H$12=0,0,H131/H$12)</f>
        <v>0.35382637615098156</v>
      </c>
      <c r="K131" s="1"/>
      <c r="L131" s="1">
        <f t="shared" ref="L131:L138" si="37">+D131-H131</f>
        <v>31865.209999999992</v>
      </c>
      <c r="M131" s="1"/>
      <c r="N131" s="5">
        <f t="shared" ref="N131:N138" si="38">IF(H131=0,0,L131/H131)</f>
        <v>0.24280697182497582</v>
      </c>
      <c r="O131" s="14"/>
      <c r="P131" s="1">
        <f>SUM(OSRRefP22_1x_0)</f>
        <v>519594.58000000007</v>
      </c>
      <c r="Q131" s="1"/>
      <c r="R131" s="5">
        <f t="shared" ref="R131:R138" si="39">IF(P$12=0,0,P131/P$12)</f>
        <v>0.22199931481136481</v>
      </c>
      <c r="S131" s="1"/>
      <c r="T131" s="1">
        <f>SUM(OSRRefT22_1x_0)</f>
        <v>433201.05999999994</v>
      </c>
      <c r="U131" s="1"/>
      <c r="V131" s="5">
        <f t="shared" ref="V131:V138" si="40">IF(T$12=0,0,T131/T$12)</f>
        <v>0.19722444154820448</v>
      </c>
      <c r="W131" s="1"/>
      <c r="X131" s="1">
        <f t="shared" ref="X131:X138" si="41">+P131-T131</f>
        <v>86393.520000000135</v>
      </c>
      <c r="Y131" s="1"/>
      <c r="Z131" s="5">
        <f t="shared" ref="Z131:Z138" si="42">IF(T131=0,0,X131/T131)</f>
        <v>0.19943053694282314</v>
      </c>
    </row>
    <row r="132" spans="1:26" s="24" customFormat="1" hidden="1" outlineLevel="2" x14ac:dyDescent="0.25">
      <c r="A132" s="28"/>
      <c r="B132" s="11" t="str">
        <f>CONCATENATE("          ", "6001", " - ", "ADMINISTRATIVE SALARIES")</f>
        <v xml:space="preserve">          6001 - ADMINISTRATIVE SALARIES</v>
      </c>
      <c r="C132" s="11"/>
      <c r="D132" s="7">
        <v>4479.1000000000004</v>
      </c>
      <c r="E132" s="2"/>
      <c r="F132" s="6">
        <f t="shared" si="35"/>
        <v>7.4581368754524265E-3</v>
      </c>
      <c r="G132" s="2"/>
      <c r="H132" s="7">
        <v>4205.74</v>
      </c>
      <c r="I132" s="2"/>
      <c r="J132" s="6">
        <f t="shared" si="36"/>
        <v>1.1339058428986602E-2</v>
      </c>
      <c r="K132" s="2"/>
      <c r="L132" s="7">
        <f t="shared" si="37"/>
        <v>273.36000000000058</v>
      </c>
      <c r="M132" s="2"/>
      <c r="N132" s="6">
        <f t="shared" si="38"/>
        <v>6.4996885209261765E-2</v>
      </c>
      <c r="O132" s="11"/>
      <c r="P132" s="7">
        <v>14557.3</v>
      </c>
      <c r="Q132" s="2"/>
      <c r="R132" s="6">
        <f t="shared" si="39"/>
        <v>6.2196773213136292E-3</v>
      </c>
      <c r="S132" s="2"/>
      <c r="T132" s="7">
        <v>12937.33</v>
      </c>
      <c r="U132" s="2"/>
      <c r="V132" s="6">
        <f t="shared" si="40"/>
        <v>5.890007943135764E-3</v>
      </c>
      <c r="W132" s="2"/>
      <c r="X132" s="7">
        <f t="shared" si="41"/>
        <v>1619.9699999999993</v>
      </c>
      <c r="Y132" s="2"/>
      <c r="Z132" s="6">
        <f t="shared" si="42"/>
        <v>0.12521671782353849</v>
      </c>
    </row>
    <row r="133" spans="1:26" s="24" customFormat="1" hidden="1" outlineLevel="2" x14ac:dyDescent="0.25">
      <c r="A133" s="28"/>
      <c r="B133" s="11" t="str">
        <f>CONCATENATE("          ", "6002", " - ", "STAFF SALARIES")</f>
        <v xml:space="preserve">          6002 - STAFF SALARIES</v>
      </c>
      <c r="C133" s="11"/>
      <c r="D133" s="7">
        <v>59317.32</v>
      </c>
      <c r="E133" s="2"/>
      <c r="F133" s="6">
        <f t="shared" si="35"/>
        <v>9.8769103535311042E-2</v>
      </c>
      <c r="G133" s="2"/>
      <c r="H133" s="7">
        <v>62783.42</v>
      </c>
      <c r="I133" s="2"/>
      <c r="J133" s="6">
        <f t="shared" si="36"/>
        <v>0.1692698235629416</v>
      </c>
      <c r="K133" s="2"/>
      <c r="L133" s="7">
        <f t="shared" si="37"/>
        <v>-3466.0999999999985</v>
      </c>
      <c r="M133" s="2"/>
      <c r="N133" s="6">
        <f t="shared" si="38"/>
        <v>-5.5207250576664965E-2</v>
      </c>
      <c r="O133" s="11"/>
      <c r="P133" s="7">
        <v>186603.07</v>
      </c>
      <c r="Q133" s="2"/>
      <c r="R133" s="6">
        <f t="shared" si="39"/>
        <v>7.9727070443454465E-2</v>
      </c>
      <c r="S133" s="2"/>
      <c r="T133" s="7">
        <v>202274.27</v>
      </c>
      <c r="U133" s="2"/>
      <c r="V133" s="6">
        <f t="shared" si="40"/>
        <v>9.2089871479817551E-2</v>
      </c>
      <c r="W133" s="2"/>
      <c r="X133" s="7">
        <f t="shared" si="41"/>
        <v>-15671.199999999983</v>
      </c>
      <c r="Y133" s="2"/>
      <c r="Z133" s="6">
        <f t="shared" si="42"/>
        <v>-7.7475004606369274E-2</v>
      </c>
    </row>
    <row r="134" spans="1:26" s="24" customFormat="1" hidden="1" outlineLevel="2" x14ac:dyDescent="0.25">
      <c r="A134" s="28"/>
      <c r="B134" s="11" t="str">
        <f>CONCATENATE("          ", "6004", " - ", "STAFF HOURLY")</f>
        <v xml:space="preserve">          6004 - STAFF HOURLY</v>
      </c>
      <c r="C134" s="11"/>
      <c r="D134" s="7">
        <v>21848.69</v>
      </c>
      <c r="E134" s="2"/>
      <c r="F134" s="6">
        <f t="shared" si="35"/>
        <v>3.6380192576483811E-2</v>
      </c>
      <c r="G134" s="2"/>
      <c r="H134" s="7">
        <v>15888.17</v>
      </c>
      <c r="I134" s="2"/>
      <c r="J134" s="6">
        <f t="shared" si="36"/>
        <v>4.2835954661884015E-2</v>
      </c>
      <c r="K134" s="2"/>
      <c r="L134" s="7">
        <f t="shared" si="37"/>
        <v>5960.5199999999986</v>
      </c>
      <c r="M134" s="2"/>
      <c r="N134" s="6">
        <f t="shared" si="38"/>
        <v>0.37515459615550428</v>
      </c>
      <c r="O134" s="11"/>
      <c r="P134" s="7">
        <v>59611.89</v>
      </c>
      <c r="Q134" s="2"/>
      <c r="R134" s="6">
        <f t="shared" si="39"/>
        <v>2.5469470321669727E-2</v>
      </c>
      <c r="S134" s="2"/>
      <c r="T134" s="7">
        <v>45478.05</v>
      </c>
      <c r="U134" s="2"/>
      <c r="V134" s="6">
        <f t="shared" si="40"/>
        <v>2.0704896275995543E-2</v>
      </c>
      <c r="W134" s="2"/>
      <c r="X134" s="7">
        <f t="shared" si="41"/>
        <v>14133.839999999997</v>
      </c>
      <c r="Y134" s="2"/>
      <c r="Z134" s="6">
        <f t="shared" si="42"/>
        <v>0.31078377371061416</v>
      </c>
    </row>
    <row r="135" spans="1:26" s="24" customFormat="1" hidden="1" outlineLevel="2" x14ac:dyDescent="0.25">
      <c r="A135" s="28"/>
      <c r="B135" s="11" t="str">
        <f>CONCATENATE("          ", "6005", " - ", "TEMPORARY WAGES-HOURLY")</f>
        <v xml:space="preserve">          6005 - TEMPORARY WAGES-HOURLY</v>
      </c>
      <c r="C135" s="11"/>
      <c r="D135" s="7">
        <v>10825.92</v>
      </c>
      <c r="E135" s="2"/>
      <c r="F135" s="6">
        <f t="shared" si="35"/>
        <v>1.8026209096179573E-2</v>
      </c>
      <c r="G135" s="2"/>
      <c r="H135" s="7">
        <v>27625.56</v>
      </c>
      <c r="I135" s="2"/>
      <c r="J135" s="6">
        <f t="shared" si="36"/>
        <v>7.4481028064853072E-2</v>
      </c>
      <c r="K135" s="2"/>
      <c r="L135" s="7">
        <f t="shared" si="37"/>
        <v>-16799.64</v>
      </c>
      <c r="M135" s="2"/>
      <c r="N135" s="6">
        <f t="shared" si="38"/>
        <v>-0.60811943721683825</v>
      </c>
      <c r="O135" s="11"/>
      <c r="P135" s="7">
        <v>31245.61</v>
      </c>
      <c r="Q135" s="2"/>
      <c r="R135" s="6">
        <f t="shared" si="39"/>
        <v>1.3349839043477181E-2</v>
      </c>
      <c r="S135" s="2"/>
      <c r="T135" s="7">
        <v>62516.6</v>
      </c>
      <c r="U135" s="2"/>
      <c r="V135" s="6">
        <f t="shared" si="40"/>
        <v>2.8462076068079059E-2</v>
      </c>
      <c r="W135" s="2"/>
      <c r="X135" s="7">
        <f t="shared" si="41"/>
        <v>-31270.989999999998</v>
      </c>
      <c r="Y135" s="2"/>
      <c r="Z135" s="6">
        <f t="shared" si="42"/>
        <v>-0.50020298608689528</v>
      </c>
    </row>
    <row r="136" spans="1:26" s="24" customFormat="1" hidden="1" outlineLevel="2" x14ac:dyDescent="0.25">
      <c r="A136" s="28"/>
      <c r="B136" s="11" t="str">
        <f>CONCATENATE("          ", "6006", " - ", "TEMPORARY PART TIME")</f>
        <v xml:space="preserve">          6006 - TEMPORARY PART TIME</v>
      </c>
      <c r="C136" s="11"/>
      <c r="D136" s="7">
        <v>2957.46</v>
      </c>
      <c r="E136" s="2"/>
      <c r="F136" s="6">
        <f t="shared" si="35"/>
        <v>4.9244583696893421E-3</v>
      </c>
      <c r="G136" s="2"/>
      <c r="H136" s="7">
        <v>1728.86</v>
      </c>
      <c r="I136" s="2"/>
      <c r="J136" s="6">
        <f t="shared" si="36"/>
        <v>4.6611641602994427E-3</v>
      </c>
      <c r="K136" s="2"/>
      <c r="L136" s="7">
        <f t="shared" si="37"/>
        <v>1228.6000000000001</v>
      </c>
      <c r="M136" s="2"/>
      <c r="N136" s="6">
        <f t="shared" si="38"/>
        <v>0.71064169452702952</v>
      </c>
      <c r="O136" s="11"/>
      <c r="P136" s="7">
        <v>9095.65</v>
      </c>
      <c r="Q136" s="2"/>
      <c r="R136" s="6">
        <f t="shared" si="39"/>
        <v>3.8861607597292292E-3</v>
      </c>
      <c r="S136" s="2"/>
      <c r="T136" s="7">
        <v>5704.41</v>
      </c>
      <c r="U136" s="2"/>
      <c r="V136" s="6">
        <f t="shared" si="40"/>
        <v>2.5970598424020319E-3</v>
      </c>
      <c r="W136" s="2"/>
      <c r="X136" s="7">
        <f t="shared" si="41"/>
        <v>3391.24</v>
      </c>
      <c r="Y136" s="2"/>
      <c r="Z136" s="6">
        <f t="shared" si="42"/>
        <v>0.59449443500730137</v>
      </c>
    </row>
    <row r="137" spans="1:26" s="24" customFormat="1" hidden="1" outlineLevel="2" x14ac:dyDescent="0.25">
      <c r="A137" s="28"/>
      <c r="B137" s="11" t="str">
        <f>CONCATENATE("          ", "6007", " - ", "STUDENT HOURLY")</f>
        <v xml:space="preserve">          6007 - STUDENT HOURLY</v>
      </c>
      <c r="C137" s="11"/>
      <c r="D137" s="7">
        <v>54007.28</v>
      </c>
      <c r="E137" s="2"/>
      <c r="F137" s="6">
        <f t="shared" si="35"/>
        <v>8.9927370791204539E-2</v>
      </c>
      <c r="G137" s="2"/>
      <c r="H137" s="7">
        <v>17949.38</v>
      </c>
      <c r="I137" s="2"/>
      <c r="J137" s="6">
        <f t="shared" si="36"/>
        <v>4.8393164718713841E-2</v>
      </c>
      <c r="K137" s="2"/>
      <c r="L137" s="7">
        <f t="shared" si="37"/>
        <v>36057.899999999994</v>
      </c>
      <c r="M137" s="2"/>
      <c r="N137" s="6">
        <f t="shared" si="38"/>
        <v>2.0088660443981903</v>
      </c>
      <c r="O137" s="11"/>
      <c r="P137" s="7">
        <v>184751.17</v>
      </c>
      <c r="Q137" s="2"/>
      <c r="R137" s="6">
        <f t="shared" si="39"/>
        <v>7.8935837149413629E-2</v>
      </c>
      <c r="S137" s="2"/>
      <c r="T137" s="7">
        <v>102801.7</v>
      </c>
      <c r="U137" s="2"/>
      <c r="V137" s="6">
        <f t="shared" si="40"/>
        <v>4.6802766070577144E-2</v>
      </c>
      <c r="W137" s="2"/>
      <c r="X137" s="7">
        <f t="shared" si="41"/>
        <v>81949.470000000016</v>
      </c>
      <c r="Y137" s="2"/>
      <c r="Z137" s="6">
        <f t="shared" si="42"/>
        <v>0.79716065006707104</v>
      </c>
    </row>
    <row r="138" spans="1:26" s="24" customFormat="1" hidden="1" outlineLevel="2" x14ac:dyDescent="0.25">
      <c r="A138" s="28"/>
      <c r="B138" s="11" t="str">
        <f>CONCATENATE("          ", "6008", " - ", "STUDENT HOURLY-FICA EXEMPT")</f>
        <v xml:space="preserve">          6008 - STUDENT HOURLY-FICA EXEMPT</v>
      </c>
      <c r="C138" s="11"/>
      <c r="D138" s="7">
        <v>9666.24</v>
      </c>
      <c r="E138" s="2"/>
      <c r="F138" s="6">
        <f t="shared" si="35"/>
        <v>1.6095229173488705E-2</v>
      </c>
      <c r="G138" s="2"/>
      <c r="H138" s="7">
        <v>1055.67</v>
      </c>
      <c r="I138" s="2"/>
      <c r="J138" s="6">
        <f t="shared" si="36"/>
        <v>2.8461825533029356E-3</v>
      </c>
      <c r="K138" s="2"/>
      <c r="L138" s="7">
        <f t="shared" si="37"/>
        <v>8610.57</v>
      </c>
      <c r="M138" s="2"/>
      <c r="N138" s="6">
        <f t="shared" si="38"/>
        <v>8.1564977691892349</v>
      </c>
      <c r="O138" s="11"/>
      <c r="P138" s="7">
        <v>33729.89</v>
      </c>
      <c r="Q138" s="2"/>
      <c r="R138" s="6">
        <f t="shared" si="39"/>
        <v>1.4411259772306909E-2</v>
      </c>
      <c r="S138" s="2"/>
      <c r="T138" s="7">
        <v>1488.7</v>
      </c>
      <c r="U138" s="2"/>
      <c r="V138" s="6">
        <f t="shared" si="40"/>
        <v>6.7776386819739555E-4</v>
      </c>
      <c r="W138" s="2"/>
      <c r="X138" s="7">
        <f t="shared" si="41"/>
        <v>32241.19</v>
      </c>
      <c r="Y138" s="2"/>
      <c r="Z138" s="6">
        <f t="shared" si="42"/>
        <v>21.657278162154899</v>
      </c>
    </row>
    <row r="139" spans="1:26" s="27" customFormat="1" outlineLevel="1" collapsed="1" x14ac:dyDescent="0.25">
      <c r="A139" s="29"/>
      <c r="B139" s="14" t="str">
        <f>CONCATENATE("     ","Advertising/Promo                                 ")</f>
        <v xml:space="preserve">     Advertising/Promo                                 </v>
      </c>
      <c r="C139" s="14"/>
      <c r="D139" s="1">
        <f>SUM(OSRRefD22_2x_0)</f>
        <v>163.18</v>
      </c>
      <c r="E139" s="1"/>
      <c r="F139" s="5">
        <f t="shared" ref="F139:F147" si="43">IF(D$12=0,0,D139/D$12)</f>
        <v>2.7171056134855817E-4</v>
      </c>
      <c r="G139" s="1"/>
      <c r="H139" s="1">
        <f>SUM(OSRRefH22_2x_0)</f>
        <v>391.39</v>
      </c>
      <c r="I139" s="1"/>
      <c r="J139" s="5">
        <f t="shared" ref="J139:J147" si="44">IF(H$12=0,0,H139/H$12)</f>
        <v>1.0552231185287407E-3</v>
      </c>
      <c r="K139" s="1"/>
      <c r="L139" s="1">
        <f t="shared" ref="L139:L147" si="45">+D139-H139</f>
        <v>-228.20999999999998</v>
      </c>
      <c r="M139" s="1"/>
      <c r="N139" s="5">
        <f t="shared" ref="N139:N147" si="46">IF(H139=0,0,L139/H139)</f>
        <v>-0.58307570454022839</v>
      </c>
      <c r="O139" s="14"/>
      <c r="P139" s="1">
        <f>SUM(OSRRefP22_2x_0)</f>
        <v>2287.3200000000002</v>
      </c>
      <c r="Q139" s="1"/>
      <c r="R139" s="5">
        <f t="shared" ref="R139:R147" si="47">IF(P$12=0,0,P139/P$12)</f>
        <v>9.7726860960391628E-4</v>
      </c>
      <c r="S139" s="1"/>
      <c r="T139" s="1">
        <f>SUM(OSRRefT22_2x_0)</f>
        <v>12393.59</v>
      </c>
      <c r="U139" s="1"/>
      <c r="V139" s="5">
        <f t="shared" ref="V139:V147" si="48">IF(T$12=0,0,T139/T$12)</f>
        <v>5.6424581844915431E-3</v>
      </c>
      <c r="W139" s="1"/>
      <c r="X139" s="1">
        <f t="shared" ref="X139:X147" si="49">+P139-T139</f>
        <v>-10106.27</v>
      </c>
      <c r="Y139" s="1"/>
      <c r="Z139" s="5">
        <f t="shared" ref="Z139:Z147" si="50">IF(T139=0,0,X139/T139)</f>
        <v>-0.81544330577338775</v>
      </c>
    </row>
    <row r="140" spans="1:26" s="24" customFormat="1" hidden="1" outlineLevel="2" x14ac:dyDescent="0.25">
      <c r="A140" s="28"/>
      <c r="B140" s="11" t="str">
        <f>CONCATENATE("          ", "6362", " - ", "ADVERTISING EXPENSE")</f>
        <v xml:space="preserve">          6362 - ADVERTISING EXPENSE</v>
      </c>
      <c r="C140" s="11"/>
      <c r="D140" s="7">
        <v>163.18</v>
      </c>
      <c r="E140" s="2"/>
      <c r="F140" s="6">
        <f t="shared" si="43"/>
        <v>2.7171056134855817E-4</v>
      </c>
      <c r="G140" s="2"/>
      <c r="H140" s="7">
        <v>391.39</v>
      </c>
      <c r="I140" s="2"/>
      <c r="J140" s="6">
        <f t="shared" si="44"/>
        <v>1.0552231185287407E-3</v>
      </c>
      <c r="K140" s="2"/>
      <c r="L140" s="7">
        <f t="shared" si="45"/>
        <v>-228.20999999999998</v>
      </c>
      <c r="M140" s="2"/>
      <c r="N140" s="6">
        <f t="shared" si="46"/>
        <v>-0.58307570454022839</v>
      </c>
      <c r="O140" s="11"/>
      <c r="P140" s="7">
        <v>2287.3200000000002</v>
      </c>
      <c r="Q140" s="2"/>
      <c r="R140" s="6">
        <f t="shared" si="47"/>
        <v>9.7726860960391628E-4</v>
      </c>
      <c r="S140" s="2"/>
      <c r="T140" s="7">
        <v>12393.59</v>
      </c>
      <c r="U140" s="2"/>
      <c r="V140" s="6">
        <f t="shared" si="48"/>
        <v>5.6424581844915431E-3</v>
      </c>
      <c r="W140" s="2"/>
      <c r="X140" s="7">
        <f t="shared" si="49"/>
        <v>-10106.27</v>
      </c>
      <c r="Y140" s="2"/>
      <c r="Z140" s="6">
        <f t="shared" si="50"/>
        <v>-0.81544330577338775</v>
      </c>
    </row>
    <row r="141" spans="1:26" s="27" customFormat="1" outlineLevel="1" collapsed="1" x14ac:dyDescent="0.25">
      <c r="A141" s="29"/>
      <c r="B141" s="14" t="str">
        <f>CONCATENATE("     ","Bad Debts/Over/Short                              ")</f>
        <v xml:space="preserve">     Bad Debts/Over/Short                              </v>
      </c>
      <c r="C141" s="14"/>
      <c r="D141" s="1">
        <f>SUM(OSRRefD22_3x_0)</f>
        <v>112.67</v>
      </c>
      <c r="E141" s="1"/>
      <c r="F141" s="5">
        <f t="shared" si="43"/>
        <v>1.8760650169838246E-4</v>
      </c>
      <c r="G141" s="1"/>
      <c r="H141" s="1">
        <f>SUM(OSRRefH22_3x_0)</f>
        <v>7.78</v>
      </c>
      <c r="I141" s="1"/>
      <c r="J141" s="5">
        <f t="shared" si="44"/>
        <v>2.0975589213198097E-5</v>
      </c>
      <c r="K141" s="1"/>
      <c r="L141" s="1">
        <f t="shared" si="45"/>
        <v>104.89</v>
      </c>
      <c r="M141" s="1"/>
      <c r="N141" s="5">
        <f t="shared" si="46"/>
        <v>13.482005141388175</v>
      </c>
      <c r="O141" s="14"/>
      <c r="P141" s="1">
        <f>SUM(OSRRefP22_3x_0)</f>
        <v>263.39999999999998</v>
      </c>
      <c r="Q141" s="1"/>
      <c r="R141" s="5">
        <f t="shared" si="47"/>
        <v>1.1253893279894004E-4</v>
      </c>
      <c r="S141" s="1"/>
      <c r="T141" s="1">
        <f>SUM(OSRRefT22_3x_0)</f>
        <v>83.32</v>
      </c>
      <c r="U141" s="1"/>
      <c r="V141" s="5">
        <f t="shared" si="48"/>
        <v>3.7933287766646731E-5</v>
      </c>
      <c r="W141" s="1"/>
      <c r="X141" s="1">
        <f t="shared" si="49"/>
        <v>180.07999999999998</v>
      </c>
      <c r="Y141" s="1"/>
      <c r="Z141" s="5">
        <f t="shared" si="50"/>
        <v>2.1613058089294288</v>
      </c>
    </row>
    <row r="142" spans="1:26" s="24" customFormat="1" hidden="1" outlineLevel="2" x14ac:dyDescent="0.25">
      <c r="A142" s="28"/>
      <c r="B142" s="11" t="str">
        <f>CONCATENATE("          ", "6272", " - ", "CASH (OVER/SHORT)")</f>
        <v xml:space="preserve">          6272 - CASH (OVER/SHORT)</v>
      </c>
      <c r="C142" s="11"/>
      <c r="D142" s="7">
        <v>112.67</v>
      </c>
      <c r="E142" s="2"/>
      <c r="F142" s="6">
        <f t="shared" si="43"/>
        <v>1.8760650169838246E-4</v>
      </c>
      <c r="G142" s="2"/>
      <c r="H142" s="7">
        <v>7.78</v>
      </c>
      <c r="I142" s="2"/>
      <c r="J142" s="6">
        <f t="shared" si="44"/>
        <v>2.0975589213198097E-5</v>
      </c>
      <c r="K142" s="2"/>
      <c r="L142" s="7">
        <f t="shared" si="45"/>
        <v>104.89</v>
      </c>
      <c r="M142" s="2"/>
      <c r="N142" s="6">
        <f t="shared" si="46"/>
        <v>13.482005141388175</v>
      </c>
      <c r="O142" s="11"/>
      <c r="P142" s="7">
        <v>263.39999999999998</v>
      </c>
      <c r="Q142" s="2"/>
      <c r="R142" s="6">
        <f t="shared" si="47"/>
        <v>1.1253893279894004E-4</v>
      </c>
      <c r="S142" s="2"/>
      <c r="T142" s="7">
        <v>83.32</v>
      </c>
      <c r="U142" s="2"/>
      <c r="V142" s="6">
        <f t="shared" si="48"/>
        <v>3.7933287766646731E-5</v>
      </c>
      <c r="W142" s="2"/>
      <c r="X142" s="7">
        <f t="shared" si="49"/>
        <v>180.07999999999998</v>
      </c>
      <c r="Y142" s="2"/>
      <c r="Z142" s="6">
        <f t="shared" si="50"/>
        <v>2.1613058089294288</v>
      </c>
    </row>
    <row r="143" spans="1:26" s="27" customFormat="1" outlineLevel="1" collapsed="1" x14ac:dyDescent="0.25">
      <c r="A143" s="29"/>
      <c r="B143" s="14" t="str">
        <f>CONCATENATE("     ","Bank/card Fees                                    ")</f>
        <v xml:space="preserve">     Bank/card Fees                                    </v>
      </c>
      <c r="C143" s="14"/>
      <c r="D143" s="1">
        <f>SUM(OSRRefD22_4x_0)</f>
        <v>11665.93</v>
      </c>
      <c r="E143" s="1"/>
      <c r="F143" s="5">
        <f t="shared" si="43"/>
        <v>1.9424907396451679E-2</v>
      </c>
      <c r="G143" s="1"/>
      <c r="H143" s="1">
        <f>SUM(OSRRefH22_4x_0)</f>
        <v>9160.4</v>
      </c>
      <c r="I143" s="1"/>
      <c r="J143" s="5">
        <f t="shared" si="44"/>
        <v>2.469727344840358E-2</v>
      </c>
      <c r="K143" s="1"/>
      <c r="L143" s="1">
        <f t="shared" si="45"/>
        <v>2505.5300000000007</v>
      </c>
      <c r="M143" s="1"/>
      <c r="N143" s="5">
        <f t="shared" si="46"/>
        <v>0.27351753198550288</v>
      </c>
      <c r="O143" s="14"/>
      <c r="P143" s="1">
        <f>SUM(OSRRefP22_4x_0)</f>
        <v>39125.65</v>
      </c>
      <c r="Q143" s="1"/>
      <c r="R143" s="5">
        <f t="shared" si="47"/>
        <v>1.6716624510496769E-2</v>
      </c>
      <c r="S143" s="1"/>
      <c r="T143" s="1">
        <f>SUM(OSRRefT22_4x_0)</f>
        <v>34477.949999999997</v>
      </c>
      <c r="U143" s="1"/>
      <c r="V143" s="5">
        <f t="shared" si="48"/>
        <v>1.5696855484326186E-2</v>
      </c>
      <c r="W143" s="1"/>
      <c r="X143" s="1">
        <f t="shared" si="49"/>
        <v>4647.7000000000044</v>
      </c>
      <c r="Y143" s="1"/>
      <c r="Z143" s="5">
        <f t="shared" si="50"/>
        <v>0.13480209815258751</v>
      </c>
    </row>
    <row r="144" spans="1:26" s="24" customFormat="1" hidden="1" outlineLevel="2" x14ac:dyDescent="0.25">
      <c r="A144" s="28"/>
      <c r="B144" s="11" t="str">
        <f>CONCATENATE("          ", "6381", " - ", "BANK/CREDIT CARD FEES")</f>
        <v xml:space="preserve">          6381 - BANK/CREDIT CARD FEES</v>
      </c>
      <c r="C144" s="11"/>
      <c r="D144" s="7">
        <v>11665.93</v>
      </c>
      <c r="E144" s="2"/>
      <c r="F144" s="6">
        <f t="shared" si="43"/>
        <v>1.9424907396451679E-2</v>
      </c>
      <c r="G144" s="2"/>
      <c r="H144" s="7">
        <v>9160.4</v>
      </c>
      <c r="I144" s="2"/>
      <c r="J144" s="6">
        <f t="shared" si="44"/>
        <v>2.469727344840358E-2</v>
      </c>
      <c r="K144" s="2"/>
      <c r="L144" s="7">
        <f t="shared" si="45"/>
        <v>2505.5300000000007</v>
      </c>
      <c r="M144" s="2"/>
      <c r="N144" s="6">
        <f t="shared" si="46"/>
        <v>0.27351753198550288</v>
      </c>
      <c r="O144" s="11"/>
      <c r="P144" s="7">
        <v>39125.65</v>
      </c>
      <c r="Q144" s="2"/>
      <c r="R144" s="6">
        <f t="shared" si="47"/>
        <v>1.6716624510496769E-2</v>
      </c>
      <c r="S144" s="2"/>
      <c r="T144" s="7">
        <v>34477.949999999997</v>
      </c>
      <c r="U144" s="2"/>
      <c r="V144" s="6">
        <f t="shared" si="48"/>
        <v>1.5696855484326186E-2</v>
      </c>
      <c r="W144" s="2"/>
      <c r="X144" s="7">
        <f t="shared" si="49"/>
        <v>4647.7000000000044</v>
      </c>
      <c r="Y144" s="2"/>
      <c r="Z144" s="6">
        <f t="shared" si="50"/>
        <v>0.13480209815258751</v>
      </c>
    </row>
    <row r="145" spans="1:26" s="27" customFormat="1" outlineLevel="1" collapsed="1" x14ac:dyDescent="0.25">
      <c r="A145" s="29"/>
      <c r="B145" s="14" t="str">
        <f>CONCATENATE("     ","Depreciation                                      ")</f>
        <v xml:space="preserve">     Depreciation                                      </v>
      </c>
      <c r="C145" s="14"/>
      <c r="D145" s="1">
        <f>SUM(OSRRefD22_5x_0)</f>
        <v>37856.21</v>
      </c>
      <c r="E145" s="1"/>
      <c r="F145" s="5">
        <f t="shared" si="43"/>
        <v>6.3034269332203088E-2</v>
      </c>
      <c r="G145" s="1"/>
      <c r="H145" s="1">
        <f>SUM(OSRRefH22_5x_0)</f>
        <v>40330.31</v>
      </c>
      <c r="I145" s="1"/>
      <c r="J145" s="5">
        <f t="shared" si="44"/>
        <v>0.10873419221091714</v>
      </c>
      <c r="K145" s="1"/>
      <c r="L145" s="1">
        <f t="shared" si="45"/>
        <v>-2474.0999999999985</v>
      </c>
      <c r="M145" s="1"/>
      <c r="N145" s="5">
        <f t="shared" si="46"/>
        <v>-6.1345920723148387E-2</v>
      </c>
      <c r="O145" s="14"/>
      <c r="P145" s="1">
        <f>SUM(OSRRefP22_5x_0)</f>
        <v>113568.65</v>
      </c>
      <c r="Q145" s="1"/>
      <c r="R145" s="5">
        <f t="shared" si="47"/>
        <v>4.852275880947738E-2</v>
      </c>
      <c r="S145" s="1"/>
      <c r="T145" s="1">
        <f>SUM(OSRRefT22_5x_0)</f>
        <v>120029.22</v>
      </c>
      <c r="U145" s="1"/>
      <c r="V145" s="5">
        <f t="shared" si="48"/>
        <v>5.4645978668580772E-2</v>
      </c>
      <c r="W145" s="1"/>
      <c r="X145" s="1">
        <f t="shared" si="49"/>
        <v>-6460.570000000007</v>
      </c>
      <c r="Y145" s="1"/>
      <c r="Z145" s="5">
        <f t="shared" si="50"/>
        <v>-5.3824976951445717E-2</v>
      </c>
    </row>
    <row r="146" spans="1:26" s="24" customFormat="1" hidden="1" outlineLevel="2" x14ac:dyDescent="0.25">
      <c r="A146" s="28"/>
      <c r="B146" s="11" t="str">
        <f>CONCATENATE("          ", "6321", " - ", "BUILDING DEPRECIATION")</f>
        <v xml:space="preserve">          6321 - BUILDING DEPRECIATION</v>
      </c>
      <c r="C146" s="11"/>
      <c r="D146" s="7">
        <v>21477.03</v>
      </c>
      <c r="E146" s="2"/>
      <c r="F146" s="6">
        <f t="shared" si="43"/>
        <v>3.5761342550556588E-2</v>
      </c>
      <c r="G146" s="2"/>
      <c r="H146" s="7">
        <v>21477.03</v>
      </c>
      <c r="I146" s="2"/>
      <c r="J146" s="6">
        <f t="shared" si="44"/>
        <v>5.7904030694027241E-2</v>
      </c>
      <c r="K146" s="2"/>
      <c r="L146" s="7">
        <f t="shared" si="45"/>
        <v>0</v>
      </c>
      <c r="M146" s="2"/>
      <c r="N146" s="6">
        <f t="shared" si="46"/>
        <v>0</v>
      </c>
      <c r="O146" s="11"/>
      <c r="P146" s="7">
        <v>64431.09</v>
      </c>
      <c r="Q146" s="2"/>
      <c r="R146" s="6">
        <f t="shared" si="47"/>
        <v>2.7528496991922773E-2</v>
      </c>
      <c r="S146" s="2"/>
      <c r="T146" s="7">
        <v>64431.09</v>
      </c>
      <c r="U146" s="2"/>
      <c r="V146" s="6">
        <f t="shared" si="48"/>
        <v>2.9333690327516981E-2</v>
      </c>
      <c r="W146" s="2"/>
      <c r="X146" s="7">
        <f t="shared" si="49"/>
        <v>0</v>
      </c>
      <c r="Y146" s="2"/>
      <c r="Z146" s="6">
        <f t="shared" si="50"/>
        <v>0</v>
      </c>
    </row>
    <row r="147" spans="1:26" s="24" customFormat="1" hidden="1" outlineLevel="2" x14ac:dyDescent="0.25">
      <c r="A147" s="28"/>
      <c r="B147" s="11" t="str">
        <f>CONCATENATE("          ", "6322", " - ", "EQUIPMENT DEPRECIATION EXPENSE")</f>
        <v xml:space="preserve">          6322 - EQUIPMENT DEPRECIATION EXPENSE</v>
      </c>
      <c r="C147" s="11"/>
      <c r="D147" s="7">
        <v>16379.18</v>
      </c>
      <c r="E147" s="2"/>
      <c r="F147" s="6">
        <f t="shared" si="43"/>
        <v>2.7272926781646507E-2</v>
      </c>
      <c r="G147" s="2"/>
      <c r="H147" s="7">
        <v>18853.28</v>
      </c>
      <c r="I147" s="2"/>
      <c r="J147" s="6">
        <f t="shared" si="44"/>
        <v>5.0830161516889898E-2</v>
      </c>
      <c r="K147" s="2"/>
      <c r="L147" s="7">
        <f t="shared" si="45"/>
        <v>-2474.0999999999985</v>
      </c>
      <c r="M147" s="2"/>
      <c r="N147" s="6">
        <f t="shared" si="46"/>
        <v>-0.13122915482080566</v>
      </c>
      <c r="O147" s="11"/>
      <c r="P147" s="7">
        <v>49137.56</v>
      </c>
      <c r="Q147" s="2"/>
      <c r="R147" s="6">
        <f t="shared" si="47"/>
        <v>2.0994261817554611E-2</v>
      </c>
      <c r="S147" s="2"/>
      <c r="T147" s="7">
        <v>55598.13</v>
      </c>
      <c r="U147" s="2"/>
      <c r="V147" s="6">
        <f t="shared" si="48"/>
        <v>2.5312288341063787E-2</v>
      </c>
      <c r="W147" s="2"/>
      <c r="X147" s="7">
        <f t="shared" si="49"/>
        <v>-6460.57</v>
      </c>
      <c r="Y147" s="2"/>
      <c r="Z147" s="6">
        <f t="shared" si="50"/>
        <v>-0.1162012103644493</v>
      </c>
    </row>
    <row r="148" spans="1:26" s="27" customFormat="1" outlineLevel="1" collapsed="1" x14ac:dyDescent="0.25">
      <c r="A148" s="29"/>
      <c r="B148" s="14" t="str">
        <f>CONCATENATE("     ","Discounts and Markdowns                           ")</f>
        <v xml:space="preserve">     Discounts and Markdowns                           </v>
      </c>
      <c r="C148" s="14"/>
      <c r="D148" s="1">
        <f>SUM(OSRRefD22_6x_0)</f>
        <v>135.49</v>
      </c>
      <c r="E148" s="1"/>
      <c r="F148" s="5">
        <f t="shared" ref="F148:F150" si="51">IF(D$12=0,0,D148/D$12)</f>
        <v>2.2560401983770159E-4</v>
      </c>
      <c r="G148" s="1"/>
      <c r="H148" s="1">
        <f>SUM(OSRRefH22_6x_0)</f>
        <v>830.95</v>
      </c>
      <c r="I148" s="1"/>
      <c r="J148" s="5">
        <f t="shared" ref="J148:J150" si="52">IF(H$12=0,0,H148/H$12)</f>
        <v>2.2403169481628486E-3</v>
      </c>
      <c r="K148" s="1"/>
      <c r="L148" s="1">
        <f t="shared" ref="L148:L150" si="53">+D148-H148</f>
        <v>-695.46</v>
      </c>
      <c r="M148" s="1"/>
      <c r="N148" s="5">
        <f t="shared" ref="N148:N150" si="54">IF(H148=0,0,L148/H148)</f>
        <v>-0.83694566460075814</v>
      </c>
      <c r="O148" s="14"/>
      <c r="P148" s="1">
        <f>SUM(OSRRefP22_6x_0)</f>
        <v>-22.49</v>
      </c>
      <c r="Q148" s="1"/>
      <c r="R148" s="5">
        <f t="shared" ref="R148:R150" si="55">IF(P$12=0,0,P148/P$12)</f>
        <v>-9.608962029795602E-6</v>
      </c>
      <c r="S148" s="1"/>
      <c r="T148" s="1">
        <f>SUM(OSRRefT22_6x_0)</f>
        <v>830.95</v>
      </c>
      <c r="U148" s="1"/>
      <c r="V148" s="5">
        <f t="shared" ref="V148:V150" si="56">IF(T$12=0,0,T148/T$12)</f>
        <v>3.7830851499874108E-4</v>
      </c>
      <c r="W148" s="1"/>
      <c r="X148" s="1">
        <f t="shared" ref="X148:X150" si="57">+P148-T148</f>
        <v>-853.44</v>
      </c>
      <c r="Y148" s="1"/>
      <c r="Z148" s="5">
        <f t="shared" ref="Z148:Z150" si="58">IF(T148=0,0,X148/T148)</f>
        <v>-1.0270654070642036</v>
      </c>
    </row>
    <row r="149" spans="1:26" s="24" customFormat="1" hidden="1" outlineLevel="2" x14ac:dyDescent="0.25">
      <c r="A149" s="28"/>
      <c r="B149" s="11" t="str">
        <f>CONCATENATE("          ", "6382", " - ", "DISCOUNTS/MARK DOWNS")</f>
        <v xml:space="preserve">          6382 - DISCOUNTS/MARK DOWNS</v>
      </c>
      <c r="C149" s="11"/>
      <c r="D149" s="7"/>
      <c r="E149" s="2"/>
      <c r="F149" s="6">
        <f t="shared" si="51"/>
        <v>0</v>
      </c>
      <c r="G149" s="2"/>
      <c r="H149" s="7">
        <v>830.95</v>
      </c>
      <c r="I149" s="2"/>
      <c r="J149" s="6">
        <f t="shared" si="52"/>
        <v>2.2403169481628486E-3</v>
      </c>
      <c r="K149" s="2"/>
      <c r="L149" s="7">
        <f t="shared" si="53"/>
        <v>-830.95</v>
      </c>
      <c r="M149" s="2"/>
      <c r="N149" s="6">
        <f t="shared" si="54"/>
        <v>-1</v>
      </c>
      <c r="O149" s="11"/>
      <c r="P149" s="7"/>
      <c r="Q149" s="2"/>
      <c r="R149" s="6">
        <f t="shared" si="55"/>
        <v>0</v>
      </c>
      <c r="S149" s="2"/>
      <c r="T149" s="7">
        <v>830.95</v>
      </c>
      <c r="U149" s="2"/>
      <c r="V149" s="6">
        <f t="shared" si="56"/>
        <v>3.7830851499874108E-4</v>
      </c>
      <c r="W149" s="2"/>
      <c r="X149" s="7">
        <f t="shared" si="57"/>
        <v>-830.95</v>
      </c>
      <c r="Y149" s="2"/>
      <c r="Z149" s="6">
        <f t="shared" si="58"/>
        <v>-1</v>
      </c>
    </row>
    <row r="150" spans="1:26" s="24" customFormat="1" hidden="1" outlineLevel="2" x14ac:dyDescent="0.25">
      <c r="A150" s="28"/>
      <c r="B150" s="11" t="str">
        <f>CONCATENATE("          ", "9175", " - ", "EARNED DISCOUNTS")</f>
        <v xml:space="preserve">          9175 - EARNED DISCOUNTS</v>
      </c>
      <c r="C150" s="11"/>
      <c r="D150" s="7">
        <v>135.49</v>
      </c>
      <c r="E150" s="2"/>
      <c r="F150" s="6">
        <f t="shared" si="51"/>
        <v>2.2560401983770159E-4</v>
      </c>
      <c r="G150" s="2"/>
      <c r="H150" s="7"/>
      <c r="I150" s="2"/>
      <c r="J150" s="6">
        <f t="shared" si="52"/>
        <v>0</v>
      </c>
      <c r="K150" s="2"/>
      <c r="L150" s="7">
        <f t="shared" si="53"/>
        <v>135.49</v>
      </c>
      <c r="M150" s="2"/>
      <c r="N150" s="6">
        <f t="shared" si="54"/>
        <v>0</v>
      </c>
      <c r="O150" s="11"/>
      <c r="P150" s="7">
        <v>-22.49</v>
      </c>
      <c r="Q150" s="2"/>
      <c r="R150" s="6">
        <f t="shared" si="55"/>
        <v>-9.608962029795602E-6</v>
      </c>
      <c r="S150" s="2"/>
      <c r="T150" s="7"/>
      <c r="U150" s="2"/>
      <c r="V150" s="6">
        <f t="shared" si="56"/>
        <v>0</v>
      </c>
      <c r="W150" s="2"/>
      <c r="X150" s="7">
        <f t="shared" si="57"/>
        <v>-22.49</v>
      </c>
      <c r="Y150" s="2"/>
      <c r="Z150" s="6">
        <f t="shared" si="58"/>
        <v>0</v>
      </c>
    </row>
    <row r="151" spans="1:26" s="27" customFormat="1" outlineLevel="1" collapsed="1" x14ac:dyDescent="0.25">
      <c r="A151" s="29"/>
      <c r="B151" s="14" t="str">
        <f>CONCATENATE("     ","Employees' Appreciation                           ")</f>
        <v xml:space="preserve">     Employees' Appreciation                           </v>
      </c>
      <c r="C151" s="14"/>
      <c r="D151" s="1">
        <f>SUM(OSRRefD22_7x_0)</f>
        <v>447.27</v>
      </c>
      <c r="E151" s="1"/>
      <c r="F151" s="5">
        <f t="shared" ref="F151:F157" si="59">IF(D$12=0,0,D151/D$12)</f>
        <v>7.4474802533625202E-4</v>
      </c>
      <c r="G151" s="1"/>
      <c r="H151" s="1">
        <f>SUM(OSRRefH22_7x_0)</f>
        <v>0</v>
      </c>
      <c r="I151" s="1"/>
      <c r="J151" s="5">
        <f t="shared" ref="J151:J157" si="60">IF(H$12=0,0,H151/H$12)</f>
        <v>0</v>
      </c>
      <c r="K151" s="1"/>
      <c r="L151" s="1">
        <f t="shared" ref="L151:L157" si="61">+D151-H151</f>
        <v>447.27</v>
      </c>
      <c r="M151" s="1"/>
      <c r="N151" s="5">
        <f t="shared" ref="N151:N157" si="62">IF(H151=0,0,L151/H151)</f>
        <v>0</v>
      </c>
      <c r="O151" s="14"/>
      <c r="P151" s="1">
        <f>SUM(OSRRefP22_7x_0)</f>
        <v>1384.63</v>
      </c>
      <c r="Q151" s="1"/>
      <c r="R151" s="5">
        <f t="shared" ref="R151:R157" si="63">IF(P$12=0,0,P151/P$12)</f>
        <v>5.9158991086331197E-4</v>
      </c>
      <c r="S151" s="1"/>
      <c r="T151" s="1">
        <f>SUM(OSRRefT22_7x_0)</f>
        <v>107.7</v>
      </c>
      <c r="U151" s="1"/>
      <c r="V151" s="5">
        <f t="shared" ref="V151:V157" si="64">IF(T$12=0,0,T151/T$12)</f>
        <v>4.903282636183214E-5</v>
      </c>
      <c r="W151" s="1"/>
      <c r="X151" s="1">
        <f t="shared" ref="X151:X157" si="65">+P151-T151</f>
        <v>1276.93</v>
      </c>
      <c r="Y151" s="1"/>
      <c r="Z151" s="5">
        <f t="shared" ref="Z151:Z157" si="66">IF(T151=0,0,X151/T151)</f>
        <v>11.856360259981431</v>
      </c>
    </row>
    <row r="152" spans="1:26" s="24" customFormat="1" hidden="1" outlineLevel="2" x14ac:dyDescent="0.25">
      <c r="A152" s="28"/>
      <c r="B152" s="11" t="str">
        <f>CONCATENATE("          ", "6277", " - ", "EMPLOYEE APPRECIATION")</f>
        <v xml:space="preserve">          6277 - EMPLOYEE APPRECIATION</v>
      </c>
      <c r="C152" s="11"/>
      <c r="D152" s="7">
        <v>447.27</v>
      </c>
      <c r="E152" s="2"/>
      <c r="F152" s="6">
        <f t="shared" si="59"/>
        <v>7.4474802533625202E-4</v>
      </c>
      <c r="G152" s="2"/>
      <c r="H152" s="7"/>
      <c r="I152" s="2"/>
      <c r="J152" s="6">
        <f t="shared" si="60"/>
        <v>0</v>
      </c>
      <c r="K152" s="2"/>
      <c r="L152" s="7">
        <f t="shared" si="61"/>
        <v>447.27</v>
      </c>
      <c r="M152" s="2"/>
      <c r="N152" s="6">
        <f t="shared" si="62"/>
        <v>0</v>
      </c>
      <c r="O152" s="11"/>
      <c r="P152" s="7">
        <v>1384.63</v>
      </c>
      <c r="Q152" s="2"/>
      <c r="R152" s="6">
        <f t="shared" si="63"/>
        <v>5.9158991086331197E-4</v>
      </c>
      <c r="S152" s="2"/>
      <c r="T152" s="7">
        <v>107.7</v>
      </c>
      <c r="U152" s="2"/>
      <c r="V152" s="6">
        <f t="shared" si="64"/>
        <v>4.903282636183214E-5</v>
      </c>
      <c r="W152" s="2"/>
      <c r="X152" s="7">
        <f t="shared" si="65"/>
        <v>1276.93</v>
      </c>
      <c r="Y152" s="2"/>
      <c r="Z152" s="6">
        <f t="shared" si="66"/>
        <v>11.856360259981431</v>
      </c>
    </row>
    <row r="153" spans="1:26" s="27" customFormat="1" outlineLevel="1" collapsed="1" x14ac:dyDescent="0.25">
      <c r="A153" s="29"/>
      <c r="B153" s="14" t="str">
        <f>CONCATENATE("     ","Equipment Rental                                  ")</f>
        <v xml:space="preserve">     Equipment Rental                                  </v>
      </c>
      <c r="C153" s="14"/>
      <c r="D153" s="1">
        <f>SUM(OSRRefD22_8x_0)</f>
        <v>1388.16</v>
      </c>
      <c r="E153" s="1"/>
      <c r="F153" s="5">
        <f t="shared" si="59"/>
        <v>2.3114213313004933E-3</v>
      </c>
      <c r="G153" s="1"/>
      <c r="H153" s="1">
        <f>SUM(OSRRefH22_8x_0)</f>
        <v>1712.05</v>
      </c>
      <c r="I153" s="1"/>
      <c r="J153" s="5">
        <f t="shared" si="60"/>
        <v>4.6158428679249101E-3</v>
      </c>
      <c r="K153" s="1"/>
      <c r="L153" s="1">
        <f t="shared" si="61"/>
        <v>-323.88999999999987</v>
      </c>
      <c r="M153" s="1"/>
      <c r="N153" s="5">
        <f t="shared" si="62"/>
        <v>-0.18918255892059221</v>
      </c>
      <c r="O153" s="14"/>
      <c r="P153" s="1">
        <f>SUM(OSRRefP22_8x_0)</f>
        <v>5080.05</v>
      </c>
      <c r="Q153" s="1"/>
      <c r="R153" s="5">
        <f t="shared" si="63"/>
        <v>2.1704761031330882E-3</v>
      </c>
      <c r="S153" s="1"/>
      <c r="T153" s="1">
        <f>SUM(OSRRefT22_8x_0)</f>
        <v>4488.37</v>
      </c>
      <c r="U153" s="1"/>
      <c r="V153" s="5">
        <f t="shared" si="64"/>
        <v>2.0434305186411931E-3</v>
      </c>
      <c r="W153" s="1"/>
      <c r="X153" s="1">
        <f t="shared" si="65"/>
        <v>591.68000000000029</v>
      </c>
      <c r="Y153" s="1"/>
      <c r="Z153" s="5">
        <f t="shared" si="66"/>
        <v>0.13182513919307015</v>
      </c>
    </row>
    <row r="154" spans="1:26" s="24" customFormat="1" hidden="1" outlineLevel="2" x14ac:dyDescent="0.25">
      <c r="A154" s="28"/>
      <c r="B154" s="11" t="str">
        <f>CONCATENATE("          ", "6351", " - ", "EQUIPMENT RENTAL")</f>
        <v xml:space="preserve">          6351 - EQUIPMENT RENTAL</v>
      </c>
      <c r="C154" s="11"/>
      <c r="D154" s="7">
        <v>1388.16</v>
      </c>
      <c r="E154" s="2"/>
      <c r="F154" s="6">
        <f t="shared" si="59"/>
        <v>2.3114213313004933E-3</v>
      </c>
      <c r="G154" s="2"/>
      <c r="H154" s="7">
        <v>1712.05</v>
      </c>
      <c r="I154" s="2"/>
      <c r="J154" s="6">
        <f t="shared" si="60"/>
        <v>4.6158428679249101E-3</v>
      </c>
      <c r="K154" s="2"/>
      <c r="L154" s="7">
        <f t="shared" si="61"/>
        <v>-323.88999999999987</v>
      </c>
      <c r="M154" s="2"/>
      <c r="N154" s="6">
        <f t="shared" si="62"/>
        <v>-0.18918255892059221</v>
      </c>
      <c r="O154" s="11"/>
      <c r="P154" s="7">
        <v>5080.05</v>
      </c>
      <c r="Q154" s="2"/>
      <c r="R154" s="6">
        <f t="shared" si="63"/>
        <v>2.1704761031330882E-3</v>
      </c>
      <c r="S154" s="2"/>
      <c r="T154" s="7">
        <v>4488.37</v>
      </c>
      <c r="U154" s="2"/>
      <c r="V154" s="6">
        <f t="shared" si="64"/>
        <v>2.0434305186411931E-3</v>
      </c>
      <c r="W154" s="2"/>
      <c r="X154" s="7">
        <f t="shared" si="65"/>
        <v>591.68000000000029</v>
      </c>
      <c r="Y154" s="2"/>
      <c r="Z154" s="6">
        <f t="shared" si="66"/>
        <v>0.13182513919307015</v>
      </c>
    </row>
    <row r="155" spans="1:26" s="27" customFormat="1" outlineLevel="1" collapsed="1" x14ac:dyDescent="0.25">
      <c r="A155" s="29"/>
      <c r="B155" s="14" t="str">
        <f>CONCATENATE("     ","Freight out/Postage                               ")</f>
        <v xml:space="preserve">     Freight out/Postage                               </v>
      </c>
      <c r="C155" s="14"/>
      <c r="D155" s="1">
        <f>SUM(OSRRefD22_9x_0)</f>
        <v>3653.1299999999992</v>
      </c>
      <c r="E155" s="1"/>
      <c r="F155" s="5">
        <f t="shared" si="59"/>
        <v>6.082816539890048E-3</v>
      </c>
      <c r="G155" s="1"/>
      <c r="H155" s="1">
        <f>SUM(OSRRefH22_9x_0)</f>
        <v>-5933.58</v>
      </c>
      <c r="I155" s="1"/>
      <c r="J155" s="5">
        <f t="shared" si="60"/>
        <v>-1.5997472576304368E-2</v>
      </c>
      <c r="K155" s="1"/>
      <c r="L155" s="1">
        <f t="shared" si="61"/>
        <v>9586.7099999999991</v>
      </c>
      <c r="M155" s="1"/>
      <c r="N155" s="5">
        <f t="shared" si="62"/>
        <v>-1.6156704721264397</v>
      </c>
      <c r="O155" s="14"/>
      <c r="P155" s="1">
        <f>SUM(OSRRefP22_9x_0)</f>
        <v>-12129.8</v>
      </c>
      <c r="Q155" s="1"/>
      <c r="R155" s="5">
        <f t="shared" si="63"/>
        <v>-5.1825161240113245E-3</v>
      </c>
      <c r="S155" s="1"/>
      <c r="T155" s="1">
        <f>SUM(OSRRefT22_9x_0)</f>
        <v>-80741.510000000009</v>
      </c>
      <c r="U155" s="1"/>
      <c r="V155" s="5">
        <f t="shared" si="64"/>
        <v>-3.6759372702155374E-2</v>
      </c>
      <c r="W155" s="1"/>
      <c r="X155" s="1">
        <f t="shared" si="65"/>
        <v>68611.710000000006</v>
      </c>
      <c r="Y155" s="1"/>
      <c r="Z155" s="5">
        <f t="shared" si="66"/>
        <v>-0.84976996343021083</v>
      </c>
    </row>
    <row r="156" spans="1:26" s="24" customFormat="1" hidden="1" outlineLevel="2" x14ac:dyDescent="0.25">
      <c r="A156" s="28"/>
      <c r="B156" s="11" t="str">
        <f>CONCATENATE("          ", "6305", " - ", "FREIGHT OUT")</f>
        <v xml:space="preserve">          6305 - FREIGHT OUT</v>
      </c>
      <c r="C156" s="11"/>
      <c r="D156" s="7">
        <v>13290.66</v>
      </c>
      <c r="E156" s="2"/>
      <c r="F156" s="6">
        <f t="shared" si="59"/>
        <v>2.2130240772722319E-2</v>
      </c>
      <c r="G156" s="2"/>
      <c r="H156" s="7">
        <v>5334.51</v>
      </c>
      <c r="I156" s="2"/>
      <c r="J156" s="6">
        <f t="shared" si="60"/>
        <v>1.4382325245976529E-2</v>
      </c>
      <c r="K156" s="2"/>
      <c r="L156" s="7">
        <f t="shared" si="61"/>
        <v>7956.15</v>
      </c>
      <c r="M156" s="2"/>
      <c r="N156" s="6">
        <f t="shared" si="62"/>
        <v>1.4914490740480379</v>
      </c>
      <c r="O156" s="11"/>
      <c r="P156" s="7">
        <v>28579.81</v>
      </c>
      <c r="Q156" s="2"/>
      <c r="R156" s="6">
        <f t="shared" si="63"/>
        <v>1.2210863010616838E-2</v>
      </c>
      <c r="S156" s="2"/>
      <c r="T156" s="7">
        <v>25668.06</v>
      </c>
      <c r="U156" s="2"/>
      <c r="V156" s="6">
        <f t="shared" si="64"/>
        <v>1.1685956629759416E-2</v>
      </c>
      <c r="W156" s="2"/>
      <c r="X156" s="7">
        <f t="shared" si="65"/>
        <v>2911.75</v>
      </c>
      <c r="Y156" s="2"/>
      <c r="Z156" s="6">
        <f t="shared" si="66"/>
        <v>0.11343864709681993</v>
      </c>
    </row>
    <row r="157" spans="1:26" s="24" customFormat="1" hidden="1" outlineLevel="2" x14ac:dyDescent="0.25">
      <c r="A157" s="28"/>
      <c r="B157" s="11" t="str">
        <f>CONCATENATE("          ", "6307", " - ", "POSTAGE")</f>
        <v xml:space="preserve">          6307 - POSTAGE</v>
      </c>
      <c r="C157" s="11"/>
      <c r="D157" s="7">
        <v>-9637.5300000000007</v>
      </c>
      <c r="E157" s="2"/>
      <c r="F157" s="6">
        <f t="shared" si="59"/>
        <v>-1.6047424232832272E-2</v>
      </c>
      <c r="G157" s="2"/>
      <c r="H157" s="7">
        <v>-11268.09</v>
      </c>
      <c r="I157" s="2"/>
      <c r="J157" s="6">
        <f t="shared" si="60"/>
        <v>-3.0379797822280896E-2</v>
      </c>
      <c r="K157" s="2"/>
      <c r="L157" s="7">
        <f t="shared" si="61"/>
        <v>1630.5599999999995</v>
      </c>
      <c r="M157" s="2"/>
      <c r="N157" s="6">
        <f t="shared" si="62"/>
        <v>-0.14470597945170827</v>
      </c>
      <c r="O157" s="11"/>
      <c r="P157" s="7">
        <v>-40709.61</v>
      </c>
      <c r="Q157" s="2"/>
      <c r="R157" s="6">
        <f t="shared" si="63"/>
        <v>-1.7393379134628163E-2</v>
      </c>
      <c r="S157" s="2"/>
      <c r="T157" s="7">
        <v>-106409.57</v>
      </c>
      <c r="U157" s="2"/>
      <c r="V157" s="6">
        <f t="shared" si="64"/>
        <v>-4.8445329331914783E-2</v>
      </c>
      <c r="W157" s="2"/>
      <c r="X157" s="7">
        <f t="shared" si="65"/>
        <v>65699.960000000006</v>
      </c>
      <c r="Y157" s="2"/>
      <c r="Z157" s="6">
        <f t="shared" si="66"/>
        <v>-0.61742529360846021</v>
      </c>
    </row>
    <row r="158" spans="1:26" s="27" customFormat="1" outlineLevel="1" collapsed="1" x14ac:dyDescent="0.25">
      <c r="A158" s="29"/>
      <c r="B158" s="14" t="str">
        <f>CONCATENATE("     ","General                                           ")</f>
        <v xml:space="preserve">     General                                           </v>
      </c>
      <c r="C158" s="14"/>
      <c r="D158" s="1">
        <f>SUM(OSRRefD22_10x_0)</f>
        <v>91.31</v>
      </c>
      <c r="E158" s="1"/>
      <c r="F158" s="5">
        <f t="shared" ref="F158:F166" si="67">IF(D$12=0,0,D158/D$12)</f>
        <v>1.5204002547332298E-4</v>
      </c>
      <c r="G158" s="1"/>
      <c r="H158" s="1">
        <f>SUM(OSRRefH22_10x_0)</f>
        <v>0</v>
      </c>
      <c r="I158" s="1"/>
      <c r="J158" s="5">
        <f t="shared" ref="J158:J166" si="68">IF(H$12=0,0,H158/H$12)</f>
        <v>0</v>
      </c>
      <c r="K158" s="1"/>
      <c r="L158" s="1">
        <f t="shared" ref="L158:L166" si="69">+D158-H158</f>
        <v>91.31</v>
      </c>
      <c r="M158" s="1"/>
      <c r="N158" s="5">
        <f t="shared" ref="N158:N166" si="70">IF(H158=0,0,L158/H158)</f>
        <v>0</v>
      </c>
      <c r="O158" s="14"/>
      <c r="P158" s="1">
        <f>SUM(OSRRefP22_10x_0)</f>
        <v>3478.6</v>
      </c>
      <c r="Q158" s="1"/>
      <c r="R158" s="5">
        <f t="shared" ref="R158:R166" si="71">IF(P$12=0,0,P158/P$12)</f>
        <v>1.4862487913226759E-3</v>
      </c>
      <c r="S158" s="1"/>
      <c r="T158" s="1">
        <f>SUM(OSRRefT22_10x_0)</f>
        <v>-1697.73</v>
      </c>
      <c r="U158" s="1"/>
      <c r="V158" s="5">
        <f t="shared" ref="V158:V166" si="72">IF(T$12=0,0,T158/T$12)</f>
        <v>-7.7292943639065245E-4</v>
      </c>
      <c r="W158" s="1"/>
      <c r="X158" s="1">
        <f t="shared" ref="X158:X166" si="73">+P158-T158</f>
        <v>5176.33</v>
      </c>
      <c r="Y158" s="1"/>
      <c r="Z158" s="5">
        <f t="shared" ref="Z158:Z166" si="74">IF(T158=0,0,X158/T158)</f>
        <v>-3.048971273406254</v>
      </c>
    </row>
    <row r="159" spans="1:26" s="24" customFormat="1" hidden="1" outlineLevel="2" x14ac:dyDescent="0.25">
      <c r="A159" s="28"/>
      <c r="B159" s="11" t="str">
        <f>CONCATENATE("          ", "6279", " - ", "GENERAL EXPENSE")</f>
        <v xml:space="preserve">          6279 - GENERAL EXPENSE</v>
      </c>
      <c r="C159" s="11"/>
      <c r="D159" s="7">
        <v>91.31</v>
      </c>
      <c r="E159" s="2"/>
      <c r="F159" s="6">
        <f t="shared" si="67"/>
        <v>1.5204002547332298E-4</v>
      </c>
      <c r="G159" s="2"/>
      <c r="H159" s="7"/>
      <c r="I159" s="2"/>
      <c r="J159" s="6">
        <f t="shared" si="68"/>
        <v>0</v>
      </c>
      <c r="K159" s="2"/>
      <c r="L159" s="7">
        <f t="shared" si="69"/>
        <v>91.31</v>
      </c>
      <c r="M159" s="2"/>
      <c r="N159" s="6">
        <f t="shared" si="70"/>
        <v>0</v>
      </c>
      <c r="O159" s="11"/>
      <c r="P159" s="7">
        <v>3478.6</v>
      </c>
      <c r="Q159" s="2"/>
      <c r="R159" s="6">
        <f t="shared" si="71"/>
        <v>1.4862487913226759E-3</v>
      </c>
      <c r="S159" s="2"/>
      <c r="T159" s="7">
        <v>-1697.73</v>
      </c>
      <c r="U159" s="2"/>
      <c r="V159" s="6">
        <f t="shared" si="72"/>
        <v>-7.7292943639065245E-4</v>
      </c>
      <c r="W159" s="2"/>
      <c r="X159" s="7">
        <f t="shared" si="73"/>
        <v>5176.33</v>
      </c>
      <c r="Y159" s="2"/>
      <c r="Z159" s="6">
        <f t="shared" si="74"/>
        <v>-3.048971273406254</v>
      </c>
    </row>
    <row r="160" spans="1:26" s="27" customFormat="1" outlineLevel="1" collapsed="1" x14ac:dyDescent="0.25">
      <c r="A160" s="29"/>
      <c r="B160" s="14" t="str">
        <f>CONCATENATE("     ","Insurance                                         ")</f>
        <v xml:space="preserve">     Insurance                                         </v>
      </c>
      <c r="C160" s="14"/>
      <c r="D160" s="1">
        <f>SUM(OSRRefD22_11x_0)</f>
        <v>5825.58</v>
      </c>
      <c r="E160" s="1"/>
      <c r="F160" s="5">
        <f t="shared" si="67"/>
        <v>9.700156955392409E-3</v>
      </c>
      <c r="G160" s="1"/>
      <c r="H160" s="1">
        <f>SUM(OSRRefH22_11x_0)</f>
        <v>4288.28</v>
      </c>
      <c r="I160" s="1"/>
      <c r="J160" s="5">
        <f t="shared" si="68"/>
        <v>1.1561593793209915E-2</v>
      </c>
      <c r="K160" s="1"/>
      <c r="L160" s="1">
        <f t="shared" si="69"/>
        <v>1537.3000000000002</v>
      </c>
      <c r="M160" s="1"/>
      <c r="N160" s="5">
        <f t="shared" si="70"/>
        <v>0.35848871808743837</v>
      </c>
      <c r="O160" s="14"/>
      <c r="P160" s="1">
        <f>SUM(OSRRefP22_11x_0)</f>
        <v>17476.740000000002</v>
      </c>
      <c r="Q160" s="1"/>
      <c r="R160" s="5">
        <f t="shared" si="71"/>
        <v>7.4670222794401961E-3</v>
      </c>
      <c r="S160" s="1"/>
      <c r="T160" s="1">
        <f>SUM(OSRRefT22_11x_0)</f>
        <v>12864.84</v>
      </c>
      <c r="U160" s="1"/>
      <c r="V160" s="5">
        <f t="shared" si="72"/>
        <v>5.8570052543431067E-3</v>
      </c>
      <c r="W160" s="1"/>
      <c r="X160" s="1">
        <f t="shared" si="73"/>
        <v>4611.9000000000015</v>
      </c>
      <c r="Y160" s="1"/>
      <c r="Z160" s="5">
        <f t="shared" si="74"/>
        <v>0.35848871808743843</v>
      </c>
    </row>
    <row r="161" spans="1:26" s="24" customFormat="1" hidden="1" outlineLevel="2" x14ac:dyDescent="0.25">
      <c r="A161" s="28"/>
      <c r="B161" s="11" t="str">
        <f>CONCATENATE("          ", "6314", " - ", "LIABILITY INSURANCE")</f>
        <v xml:space="preserve">          6314 - LIABILITY INSURANCE</v>
      </c>
      <c r="C161" s="11"/>
      <c r="D161" s="7">
        <v>5825.58</v>
      </c>
      <c r="E161" s="2"/>
      <c r="F161" s="6">
        <f t="shared" si="67"/>
        <v>9.700156955392409E-3</v>
      </c>
      <c r="G161" s="2"/>
      <c r="H161" s="7">
        <v>4288.28</v>
      </c>
      <c r="I161" s="2"/>
      <c r="J161" s="6">
        <f t="shared" si="68"/>
        <v>1.1561593793209915E-2</v>
      </c>
      <c r="K161" s="2"/>
      <c r="L161" s="7">
        <f t="shared" si="69"/>
        <v>1537.3000000000002</v>
      </c>
      <c r="M161" s="2"/>
      <c r="N161" s="6">
        <f t="shared" si="70"/>
        <v>0.35848871808743837</v>
      </c>
      <c r="O161" s="11"/>
      <c r="P161" s="7">
        <v>17476.740000000002</v>
      </c>
      <c r="Q161" s="2"/>
      <c r="R161" s="6">
        <f t="shared" si="71"/>
        <v>7.4670222794401961E-3</v>
      </c>
      <c r="S161" s="2"/>
      <c r="T161" s="7">
        <v>12864.84</v>
      </c>
      <c r="U161" s="2"/>
      <c r="V161" s="6">
        <f t="shared" si="72"/>
        <v>5.8570052543431067E-3</v>
      </c>
      <c r="W161" s="2"/>
      <c r="X161" s="7">
        <f t="shared" si="73"/>
        <v>4611.9000000000015</v>
      </c>
      <c r="Y161" s="2"/>
      <c r="Z161" s="6">
        <f t="shared" si="74"/>
        <v>0.35848871808743843</v>
      </c>
    </row>
    <row r="162" spans="1:26" s="27" customFormat="1" outlineLevel="1" collapsed="1" x14ac:dyDescent="0.25">
      <c r="A162" s="29"/>
      <c r="B162" s="14" t="str">
        <f>CONCATENATE("     ","Interest                                          ")</f>
        <v xml:space="preserve">     Interest                                          </v>
      </c>
      <c r="C162" s="14"/>
      <c r="D162" s="1">
        <f>SUM(OSRRefD22_12x_0)</f>
        <v>3905</v>
      </c>
      <c r="E162" s="1"/>
      <c r="F162" s="5">
        <f t="shared" si="67"/>
        <v>6.5022045720438751E-3</v>
      </c>
      <c r="G162" s="1"/>
      <c r="H162" s="1">
        <f>SUM(OSRRefH22_12x_0)</f>
        <v>4044</v>
      </c>
      <c r="I162" s="1"/>
      <c r="J162" s="5">
        <f t="shared" si="68"/>
        <v>1.0902992645009397E-2</v>
      </c>
      <c r="K162" s="1"/>
      <c r="L162" s="1">
        <f t="shared" si="69"/>
        <v>-139</v>
      </c>
      <c r="M162" s="1"/>
      <c r="N162" s="5">
        <f t="shared" si="70"/>
        <v>-3.4371909000989118E-2</v>
      </c>
      <c r="O162" s="14"/>
      <c r="P162" s="1">
        <f>SUM(OSRRefP22_12x_0)</f>
        <v>11715</v>
      </c>
      <c r="Q162" s="1"/>
      <c r="R162" s="5">
        <f t="shared" si="71"/>
        <v>5.0052908038708526E-3</v>
      </c>
      <c r="S162" s="1"/>
      <c r="T162" s="1">
        <f>SUM(OSRRefT22_12x_0)</f>
        <v>12132</v>
      </c>
      <c r="U162" s="1"/>
      <c r="V162" s="5">
        <f t="shared" si="72"/>
        <v>5.5233635043801998E-3</v>
      </c>
      <c r="W162" s="1"/>
      <c r="X162" s="1">
        <f t="shared" si="73"/>
        <v>-417</v>
      </c>
      <c r="Y162" s="1"/>
      <c r="Z162" s="5">
        <f t="shared" si="74"/>
        <v>-3.4371909000989118E-2</v>
      </c>
    </row>
    <row r="163" spans="1:26" s="24" customFormat="1" hidden="1" outlineLevel="2" x14ac:dyDescent="0.25">
      <c r="A163" s="28"/>
      <c r="B163" s="11" t="str">
        <f>CONCATENATE("          ", "6401", " - ", "INTEREST EXPENSE")</f>
        <v xml:space="preserve">          6401 - INTEREST EXPENSE</v>
      </c>
      <c r="C163" s="11"/>
      <c r="D163" s="7">
        <v>3905</v>
      </c>
      <c r="E163" s="2"/>
      <c r="F163" s="6">
        <f t="shared" si="67"/>
        <v>6.5022045720438751E-3</v>
      </c>
      <c r="G163" s="2"/>
      <c r="H163" s="7">
        <v>4044</v>
      </c>
      <c r="I163" s="2"/>
      <c r="J163" s="6">
        <f t="shared" si="68"/>
        <v>1.0902992645009397E-2</v>
      </c>
      <c r="K163" s="2"/>
      <c r="L163" s="7">
        <f t="shared" si="69"/>
        <v>-139</v>
      </c>
      <c r="M163" s="2"/>
      <c r="N163" s="6">
        <f t="shared" si="70"/>
        <v>-3.4371909000989118E-2</v>
      </c>
      <c r="O163" s="11"/>
      <c r="P163" s="7">
        <v>11715</v>
      </c>
      <c r="Q163" s="2"/>
      <c r="R163" s="6">
        <f t="shared" si="71"/>
        <v>5.0052908038708526E-3</v>
      </c>
      <c r="S163" s="2"/>
      <c r="T163" s="7">
        <v>12132</v>
      </c>
      <c r="U163" s="2"/>
      <c r="V163" s="6">
        <f t="shared" si="72"/>
        <v>5.5233635043801998E-3</v>
      </c>
      <c r="W163" s="2"/>
      <c r="X163" s="7">
        <f t="shared" si="73"/>
        <v>-417</v>
      </c>
      <c r="Y163" s="2"/>
      <c r="Z163" s="6">
        <f t="shared" si="74"/>
        <v>-3.4371909000989118E-2</v>
      </c>
    </row>
    <row r="164" spans="1:26" s="27" customFormat="1" outlineLevel="1" collapsed="1" x14ac:dyDescent="0.25">
      <c r="A164" s="29"/>
      <c r="B164" s="14" t="str">
        <f>CONCATENATE("     ","Inventory Adjustment                              ")</f>
        <v xml:space="preserve">     Inventory Adjustment                              </v>
      </c>
      <c r="C164" s="14"/>
      <c r="D164" s="1">
        <f>SUM(OSRRefD22_13x_0)</f>
        <v>5100</v>
      </c>
      <c r="E164" s="1"/>
      <c r="F164" s="5">
        <f t="shared" si="67"/>
        <v>8.4919957278934092E-3</v>
      </c>
      <c r="G164" s="1"/>
      <c r="H164" s="1">
        <f>SUM(OSRRefH22_13x_0)</f>
        <v>2100</v>
      </c>
      <c r="I164" s="1"/>
      <c r="J164" s="5">
        <f t="shared" si="68"/>
        <v>5.6617914328683811E-3</v>
      </c>
      <c r="K164" s="1"/>
      <c r="L164" s="1">
        <f t="shared" si="69"/>
        <v>3000</v>
      </c>
      <c r="M164" s="1"/>
      <c r="N164" s="5">
        <f t="shared" si="70"/>
        <v>1.4285714285714286</v>
      </c>
      <c r="O164" s="14"/>
      <c r="P164" s="1">
        <f>SUM(OSRRefP22_13x_0)</f>
        <v>15300</v>
      </c>
      <c r="Q164" s="1"/>
      <c r="R164" s="5">
        <f t="shared" si="71"/>
        <v>6.5369995133780666E-3</v>
      </c>
      <c r="S164" s="1"/>
      <c r="T164" s="1">
        <f>SUM(OSRRefT22_13x_0)</f>
        <v>6300</v>
      </c>
      <c r="U164" s="1"/>
      <c r="V164" s="5">
        <f t="shared" si="72"/>
        <v>2.8682154696336348E-3</v>
      </c>
      <c r="W164" s="1"/>
      <c r="X164" s="1">
        <f t="shared" si="73"/>
        <v>9000</v>
      </c>
      <c r="Y164" s="1"/>
      <c r="Z164" s="5">
        <f t="shared" si="74"/>
        <v>1.4285714285714286</v>
      </c>
    </row>
    <row r="165" spans="1:26" s="24" customFormat="1" hidden="1" outlineLevel="2" x14ac:dyDescent="0.25">
      <c r="A165" s="28"/>
      <c r="B165" s="11" t="str">
        <f>CONCATENATE("          ", "6408", " - ", "INVENTORY ADJUSTMENT")</f>
        <v xml:space="preserve">          6408 - INVENTORY ADJUSTMENT</v>
      </c>
      <c r="C165" s="11"/>
      <c r="D165" s="7">
        <v>5100</v>
      </c>
      <c r="E165" s="2"/>
      <c r="F165" s="6">
        <f t="shared" si="67"/>
        <v>8.4919957278934092E-3</v>
      </c>
      <c r="G165" s="2"/>
      <c r="H165" s="7">
        <v>2100</v>
      </c>
      <c r="I165" s="2"/>
      <c r="J165" s="6">
        <f t="shared" si="68"/>
        <v>5.6617914328683811E-3</v>
      </c>
      <c r="K165" s="2"/>
      <c r="L165" s="7">
        <f t="shared" si="69"/>
        <v>3000</v>
      </c>
      <c r="M165" s="2"/>
      <c r="N165" s="6">
        <f t="shared" si="70"/>
        <v>1.4285714285714286</v>
      </c>
      <c r="O165" s="11"/>
      <c r="P165" s="7">
        <v>15300</v>
      </c>
      <c r="Q165" s="2"/>
      <c r="R165" s="6">
        <f t="shared" si="71"/>
        <v>6.5369995133780666E-3</v>
      </c>
      <c r="S165" s="2"/>
      <c r="T165" s="7">
        <v>6300</v>
      </c>
      <c r="U165" s="2"/>
      <c r="V165" s="6">
        <f t="shared" si="72"/>
        <v>2.8682154696336348E-3</v>
      </c>
      <c r="W165" s="2"/>
      <c r="X165" s="7">
        <f t="shared" si="73"/>
        <v>9000</v>
      </c>
      <c r="Y165" s="2"/>
      <c r="Z165" s="6">
        <f t="shared" si="74"/>
        <v>1.4285714285714286</v>
      </c>
    </row>
    <row r="166" spans="1:26" s="24" customFormat="1" hidden="1" outlineLevel="2" x14ac:dyDescent="0.25">
      <c r="A166" s="28"/>
      <c r="B166" s="11" t="str">
        <f>CONCATENATE("          ", "7741", " - ", "INV. SHRINKAGE-LOGO GIFTS")</f>
        <v xml:space="preserve">          7741 - INV. SHRINKAGE-LOGO GIFTS</v>
      </c>
      <c r="C166" s="11"/>
      <c r="D166" s="7"/>
      <c r="E166" s="2"/>
      <c r="F166" s="6">
        <f t="shared" si="67"/>
        <v>0</v>
      </c>
      <c r="G166" s="2"/>
      <c r="H166" s="7"/>
      <c r="I166" s="2"/>
      <c r="J166" s="6">
        <f t="shared" si="68"/>
        <v>0</v>
      </c>
      <c r="K166" s="2"/>
      <c r="L166" s="7">
        <f t="shared" si="69"/>
        <v>0</v>
      </c>
      <c r="M166" s="2"/>
      <c r="N166" s="6">
        <f t="shared" si="70"/>
        <v>0</v>
      </c>
      <c r="O166" s="11"/>
      <c r="P166" s="7"/>
      <c r="Q166" s="2"/>
      <c r="R166" s="6">
        <f t="shared" si="71"/>
        <v>0</v>
      </c>
      <c r="S166" s="2"/>
      <c r="T166" s="7">
        <v>0</v>
      </c>
      <c r="U166" s="2"/>
      <c r="V166" s="6">
        <f t="shared" si="72"/>
        <v>0</v>
      </c>
      <c r="W166" s="2"/>
      <c r="X166" s="7">
        <f t="shared" si="73"/>
        <v>0</v>
      </c>
      <c r="Y166" s="2"/>
      <c r="Z166" s="6">
        <f t="shared" si="74"/>
        <v>0</v>
      </c>
    </row>
    <row r="167" spans="1:26" s="27" customFormat="1" outlineLevel="1" collapsed="1" x14ac:dyDescent="0.25">
      <c r="A167" s="29"/>
      <c r="B167" s="14" t="str">
        <f>CONCATENATE("     ","Rent                                              ")</f>
        <v xml:space="preserve">     Rent                                              </v>
      </c>
      <c r="C167" s="14"/>
      <c r="D167" s="1">
        <f>SUM(OSRRefD22_14x_0)</f>
        <v>6100</v>
      </c>
      <c r="E167" s="1"/>
      <c r="F167" s="5">
        <f t="shared" ref="F167:F173" si="75">IF(D$12=0,0,D167/D$12)</f>
        <v>1.0157092929441136E-2</v>
      </c>
      <c r="G167" s="1"/>
      <c r="H167" s="1">
        <f>SUM(OSRRefH22_14x_0)</f>
        <v>6100</v>
      </c>
      <c r="I167" s="1"/>
      <c r="J167" s="5">
        <f t="shared" ref="J167:J173" si="76">IF(H$12=0,0,H167/H$12)</f>
        <v>1.6446156066903393E-2</v>
      </c>
      <c r="K167" s="1"/>
      <c r="L167" s="1">
        <f t="shared" ref="L167:L173" si="77">+D167-H167</f>
        <v>0</v>
      </c>
      <c r="M167" s="1"/>
      <c r="N167" s="5">
        <f t="shared" ref="N167:N173" si="78">IF(H167=0,0,L167/H167)</f>
        <v>0</v>
      </c>
      <c r="O167" s="14"/>
      <c r="P167" s="1">
        <f>SUM(OSRRefP22_14x_0)</f>
        <v>18300</v>
      </c>
      <c r="Q167" s="1"/>
      <c r="R167" s="5">
        <f t="shared" ref="R167:R173" si="79">IF(P$12=0,0,P167/P$12)</f>
        <v>7.8187641238443538E-3</v>
      </c>
      <c r="S167" s="1"/>
      <c r="T167" s="1">
        <f>SUM(OSRRefT22_14x_0)</f>
        <v>18300</v>
      </c>
      <c r="U167" s="1"/>
      <c r="V167" s="5">
        <f t="shared" ref="V167:V173" si="80">IF(T$12=0,0,T167/T$12)</f>
        <v>8.3314830308405582E-3</v>
      </c>
      <c r="W167" s="1"/>
      <c r="X167" s="1">
        <f t="shared" ref="X167:X173" si="81">+P167-T167</f>
        <v>0</v>
      </c>
      <c r="Y167" s="1"/>
      <c r="Z167" s="5">
        <f t="shared" ref="Z167:Z173" si="82">IF(T167=0,0,X167/T167)</f>
        <v>0</v>
      </c>
    </row>
    <row r="168" spans="1:26" s="24" customFormat="1" hidden="1" outlineLevel="2" x14ac:dyDescent="0.25">
      <c r="A168" s="28"/>
      <c r="B168" s="11" t="str">
        <f>CONCATENATE("          ", "6273", " - ", "RENT")</f>
        <v xml:space="preserve">          6273 - RENT</v>
      </c>
      <c r="C168" s="11"/>
      <c r="D168" s="7">
        <v>6100</v>
      </c>
      <c r="E168" s="2"/>
      <c r="F168" s="6">
        <f t="shared" si="75"/>
        <v>1.0157092929441136E-2</v>
      </c>
      <c r="G168" s="2"/>
      <c r="H168" s="7">
        <v>6100</v>
      </c>
      <c r="I168" s="2"/>
      <c r="J168" s="6">
        <f t="shared" si="76"/>
        <v>1.6446156066903393E-2</v>
      </c>
      <c r="K168" s="2"/>
      <c r="L168" s="7">
        <f t="shared" si="77"/>
        <v>0</v>
      </c>
      <c r="M168" s="2"/>
      <c r="N168" s="6">
        <f t="shared" si="78"/>
        <v>0</v>
      </c>
      <c r="O168" s="11"/>
      <c r="P168" s="7">
        <v>18300</v>
      </c>
      <c r="Q168" s="2"/>
      <c r="R168" s="6">
        <f t="shared" si="79"/>
        <v>7.8187641238443538E-3</v>
      </c>
      <c r="S168" s="2"/>
      <c r="T168" s="7">
        <v>18300</v>
      </c>
      <c r="U168" s="2"/>
      <c r="V168" s="6">
        <f t="shared" si="80"/>
        <v>8.3314830308405582E-3</v>
      </c>
      <c r="W168" s="2"/>
      <c r="X168" s="7">
        <f t="shared" si="81"/>
        <v>0</v>
      </c>
      <c r="Y168" s="2"/>
      <c r="Z168" s="6">
        <f t="shared" si="82"/>
        <v>0</v>
      </c>
    </row>
    <row r="169" spans="1:26" s="27" customFormat="1" outlineLevel="1" collapsed="1" x14ac:dyDescent="0.25">
      <c r="A169" s="29"/>
      <c r="B169" s="14" t="str">
        <f>CONCATENATE("     ","Repair and Maintenance                            ")</f>
        <v xml:space="preserve">     Repair and Maintenance                            </v>
      </c>
      <c r="C169" s="14"/>
      <c r="D169" s="1">
        <f>SUM(OSRRefD22_15x_0)</f>
        <v>4464.9399999999996</v>
      </c>
      <c r="E169" s="1"/>
      <c r="F169" s="5">
        <f t="shared" si="75"/>
        <v>7.4345590990785096E-3</v>
      </c>
      <c r="G169" s="1"/>
      <c r="H169" s="1">
        <f>SUM(OSRRefH22_15x_0)</f>
        <v>13868.49</v>
      </c>
      <c r="I169" s="1"/>
      <c r="J169" s="5">
        <f t="shared" si="76"/>
        <v>3.7390713270867057E-2</v>
      </c>
      <c r="K169" s="1"/>
      <c r="L169" s="1">
        <f t="shared" si="77"/>
        <v>-9403.5499999999993</v>
      </c>
      <c r="M169" s="1"/>
      <c r="N169" s="5">
        <f t="shared" si="78"/>
        <v>-0.67805146775171621</v>
      </c>
      <c r="O169" s="14"/>
      <c r="P169" s="1">
        <f>SUM(OSRRefP22_15x_0)</f>
        <v>79214.990000000005</v>
      </c>
      <c r="Q169" s="1"/>
      <c r="R169" s="5">
        <f t="shared" si="79"/>
        <v>3.3844990266813625E-2</v>
      </c>
      <c r="S169" s="1"/>
      <c r="T169" s="1">
        <f>SUM(OSRRefT22_15x_0)</f>
        <v>87478.98</v>
      </c>
      <c r="U169" s="1"/>
      <c r="V169" s="5">
        <f t="shared" si="80"/>
        <v>3.9826756143455766E-2</v>
      </c>
      <c r="W169" s="1"/>
      <c r="X169" s="1">
        <f t="shared" si="81"/>
        <v>-8263.9899999999907</v>
      </c>
      <c r="Y169" s="1"/>
      <c r="Z169" s="5">
        <f t="shared" si="82"/>
        <v>-9.4468293983308804E-2</v>
      </c>
    </row>
    <row r="170" spans="1:26" s="24" customFormat="1" hidden="1" outlineLevel="2" x14ac:dyDescent="0.25">
      <c r="A170" s="28"/>
      <c r="B170" s="11" t="str">
        <f>CONCATENATE("          ", "6371", " - ", "COMPUTER SOFTWARE MAINTENANCE")</f>
        <v xml:space="preserve">          6371 - COMPUTER SOFTWARE MAINTENANCE</v>
      </c>
      <c r="C170" s="11"/>
      <c r="D170" s="7"/>
      <c r="E170" s="2"/>
      <c r="F170" s="6">
        <f t="shared" si="75"/>
        <v>0</v>
      </c>
      <c r="G170" s="2"/>
      <c r="H170" s="7"/>
      <c r="I170" s="2"/>
      <c r="J170" s="6">
        <f t="shared" si="76"/>
        <v>0</v>
      </c>
      <c r="K170" s="2"/>
      <c r="L170" s="7">
        <f t="shared" si="77"/>
        <v>0</v>
      </c>
      <c r="M170" s="2"/>
      <c r="N170" s="6">
        <f t="shared" si="78"/>
        <v>0</v>
      </c>
      <c r="O170" s="11"/>
      <c r="P170" s="7">
        <v>59623.5</v>
      </c>
      <c r="Q170" s="2"/>
      <c r="R170" s="6">
        <f t="shared" si="79"/>
        <v>2.5474430750712231E-2</v>
      </c>
      <c r="S170" s="2"/>
      <c r="T170" s="7">
        <v>58428.78</v>
      </c>
      <c r="U170" s="2"/>
      <c r="V170" s="6">
        <f t="shared" si="80"/>
        <v>2.6601004867907986E-2</v>
      </c>
      <c r="W170" s="2"/>
      <c r="X170" s="7">
        <f t="shared" si="81"/>
        <v>1194.7200000000012</v>
      </c>
      <c r="Y170" s="2"/>
      <c r="Z170" s="6">
        <f t="shared" si="82"/>
        <v>2.044745757142287E-2</v>
      </c>
    </row>
    <row r="171" spans="1:26" s="24" customFormat="1" hidden="1" outlineLevel="2" x14ac:dyDescent="0.25">
      <c r="A171" s="28"/>
      <c r="B171" s="11" t="str">
        <f>CONCATENATE("          ", "6372", " - ", "COMPUTER HARDWARE MAINTENANCE")</f>
        <v xml:space="preserve">          6372 - COMPUTER HARDWARE MAINTENANCE</v>
      </c>
      <c r="C171" s="11"/>
      <c r="D171" s="7"/>
      <c r="E171" s="2"/>
      <c r="F171" s="6">
        <f t="shared" si="75"/>
        <v>0</v>
      </c>
      <c r="G171" s="2"/>
      <c r="H171" s="7">
        <v>-9.09</v>
      </c>
      <c r="I171" s="2"/>
      <c r="J171" s="6">
        <f t="shared" si="76"/>
        <v>-2.4507468630844563E-5</v>
      </c>
      <c r="K171" s="2"/>
      <c r="L171" s="7">
        <f t="shared" si="77"/>
        <v>9.09</v>
      </c>
      <c r="M171" s="2"/>
      <c r="N171" s="6">
        <f t="shared" si="78"/>
        <v>-1</v>
      </c>
      <c r="O171" s="11"/>
      <c r="P171" s="7"/>
      <c r="Q171" s="2"/>
      <c r="R171" s="6">
        <f t="shared" si="79"/>
        <v>0</v>
      </c>
      <c r="S171" s="2"/>
      <c r="T171" s="7">
        <v>-8.11</v>
      </c>
      <c r="U171" s="2"/>
      <c r="V171" s="6">
        <f t="shared" si="80"/>
        <v>-3.6922583267823455E-6</v>
      </c>
      <c r="W171" s="2"/>
      <c r="X171" s="7">
        <f t="shared" si="81"/>
        <v>8.11</v>
      </c>
      <c r="Y171" s="2"/>
      <c r="Z171" s="6">
        <f t="shared" si="82"/>
        <v>-1</v>
      </c>
    </row>
    <row r="172" spans="1:26" s="24" customFormat="1" hidden="1" outlineLevel="2" x14ac:dyDescent="0.25">
      <c r="A172" s="28"/>
      <c r="B172" s="11" t="str">
        <f>CONCATENATE("          ", "6373", " - ", "MAINTENANCE CONTRACTS")</f>
        <v xml:space="preserve">          6373 - MAINTENANCE CONTRACTS</v>
      </c>
      <c r="C172" s="11"/>
      <c r="D172" s="7">
        <v>1642.34</v>
      </c>
      <c r="E172" s="2"/>
      <c r="F172" s="6">
        <f t="shared" si="75"/>
        <v>2.7346557379898944E-3</v>
      </c>
      <c r="G172" s="2"/>
      <c r="H172" s="7">
        <v>12704.27</v>
      </c>
      <c r="I172" s="2"/>
      <c r="J172" s="6">
        <f t="shared" si="76"/>
        <v>3.4251870022307999E-2</v>
      </c>
      <c r="K172" s="2"/>
      <c r="L172" s="7">
        <f t="shared" si="77"/>
        <v>-11061.93</v>
      </c>
      <c r="M172" s="2"/>
      <c r="N172" s="6">
        <f t="shared" si="78"/>
        <v>-0.87072535454614863</v>
      </c>
      <c r="O172" s="11"/>
      <c r="P172" s="7">
        <v>8307.39</v>
      </c>
      <c r="Q172" s="2"/>
      <c r="R172" s="6">
        <f t="shared" si="79"/>
        <v>3.5493728357805106E-3</v>
      </c>
      <c r="S172" s="2"/>
      <c r="T172" s="7">
        <v>25844.2</v>
      </c>
      <c r="U172" s="2"/>
      <c r="V172" s="6">
        <f t="shared" si="80"/>
        <v>1.1766148292111997E-2</v>
      </c>
      <c r="W172" s="2"/>
      <c r="X172" s="7">
        <f t="shared" si="81"/>
        <v>-17536.810000000001</v>
      </c>
      <c r="Y172" s="2"/>
      <c r="Z172" s="6">
        <f t="shared" si="82"/>
        <v>-0.67855882557788594</v>
      </c>
    </row>
    <row r="173" spans="1:26" s="24" customFormat="1" hidden="1" outlineLevel="2" x14ac:dyDescent="0.25">
      <c r="A173" s="28"/>
      <c r="B173" s="11" t="str">
        <f>CONCATENATE("          ", "6375", " - ", "OUTSIDE REPAIRS &amp; MAINTENANCE")</f>
        <v xml:space="preserve">          6375 - OUTSIDE REPAIRS &amp; MAINTENANCE</v>
      </c>
      <c r="C173" s="11"/>
      <c r="D173" s="7">
        <v>2822.6</v>
      </c>
      <c r="E173" s="2"/>
      <c r="F173" s="6">
        <f t="shared" si="75"/>
        <v>4.6999033610886148E-3</v>
      </c>
      <c r="G173" s="2"/>
      <c r="H173" s="7">
        <v>1173.31</v>
      </c>
      <c r="I173" s="2"/>
      <c r="J173" s="6">
        <f t="shared" si="76"/>
        <v>3.1633507171899048E-3</v>
      </c>
      <c r="K173" s="2"/>
      <c r="L173" s="7">
        <f t="shared" si="77"/>
        <v>1649.29</v>
      </c>
      <c r="M173" s="2"/>
      <c r="N173" s="6">
        <f t="shared" si="78"/>
        <v>1.4056728400848881</v>
      </c>
      <c r="O173" s="11"/>
      <c r="P173" s="7">
        <v>11284.1</v>
      </c>
      <c r="Q173" s="2"/>
      <c r="R173" s="6">
        <f t="shared" si="79"/>
        <v>4.8211866803208785E-3</v>
      </c>
      <c r="S173" s="2"/>
      <c r="T173" s="7">
        <v>3214.11</v>
      </c>
      <c r="U173" s="2"/>
      <c r="V173" s="6">
        <f t="shared" si="80"/>
        <v>1.4632952417625654E-3</v>
      </c>
      <c r="W173" s="2"/>
      <c r="X173" s="7">
        <f t="shared" si="81"/>
        <v>8069.99</v>
      </c>
      <c r="Y173" s="2"/>
      <c r="Z173" s="6">
        <f t="shared" si="82"/>
        <v>2.5108008126666479</v>
      </c>
    </row>
    <row r="174" spans="1:26" s="27" customFormat="1" outlineLevel="1" collapsed="1" x14ac:dyDescent="0.25">
      <c r="A174" s="29"/>
      <c r="B174" s="14" t="str">
        <f>CONCATENATE("     ","Royalty &amp; Commissions                             ")</f>
        <v xml:space="preserve">     Royalty &amp; Commissions                             </v>
      </c>
      <c r="C174" s="14"/>
      <c r="D174" s="1">
        <f>SUM(OSRRefD22_16x_0)</f>
        <v>1174.22</v>
      </c>
      <c r="E174" s="1"/>
      <c r="F174" s="5">
        <f t="shared" ref="F174:F177" si="83">IF(D$12=0,0,D174/D$12)</f>
        <v>1.9551904360013725E-3</v>
      </c>
      <c r="G174" s="1"/>
      <c r="H174" s="1">
        <f>SUM(OSRRefH22_16x_0)</f>
        <v>62.6</v>
      </c>
      <c r="I174" s="1"/>
      <c r="J174" s="5">
        <f t="shared" ref="J174:J177" si="84">IF(H$12=0,0,H174/H$12)</f>
        <v>1.6877530652264794E-4</v>
      </c>
      <c r="K174" s="1"/>
      <c r="L174" s="1">
        <f t="shared" ref="L174:L177" si="85">+D174-H174</f>
        <v>1111.6200000000001</v>
      </c>
      <c r="M174" s="1"/>
      <c r="N174" s="5">
        <f t="shared" ref="N174:N177" si="86">IF(H174=0,0,L174/H174)</f>
        <v>17.75750798722045</v>
      </c>
      <c r="O174" s="14"/>
      <c r="P174" s="1">
        <f>SUM(OSRRefP22_16x_0)</f>
        <v>9131.2100000000009</v>
      </c>
      <c r="Q174" s="1"/>
      <c r="R174" s="5">
        <f t="shared" ref="R174:R177" si="87">IF(P$12=0,0,P174/P$12)</f>
        <v>3.901353942911957E-3</v>
      </c>
      <c r="S174" s="1"/>
      <c r="T174" s="1">
        <f>SUM(OSRRefT22_16x_0)</f>
        <v>13307</v>
      </c>
      <c r="U174" s="1"/>
      <c r="V174" s="5">
        <f t="shared" ref="V174:V177" si="88">IF(T$12=0,0,T174/T$12)</f>
        <v>6.0583084530817103E-3</v>
      </c>
      <c r="W174" s="1"/>
      <c r="X174" s="1">
        <f t="shared" ref="X174:X177" si="89">+P174-T174</f>
        <v>-4175.7899999999991</v>
      </c>
      <c r="Y174" s="1"/>
      <c r="Z174" s="5">
        <f t="shared" ref="Z174:Z177" si="90">IF(T174=0,0,X174/T174)</f>
        <v>-0.31380401292552784</v>
      </c>
    </row>
    <row r="175" spans="1:26" s="24" customFormat="1" hidden="1" outlineLevel="2" x14ac:dyDescent="0.25">
      <c r="A175" s="28"/>
      <c r="B175" s="11" t="str">
        <f>CONCATENATE("          ", "6253", " - ", "ROYALTY DUE ATHLETICS-LRG")</f>
        <v xml:space="preserve">          6253 - ROYALTY DUE ATHLETICS-LRG</v>
      </c>
      <c r="C175" s="11"/>
      <c r="D175" s="7"/>
      <c r="E175" s="2"/>
      <c r="F175" s="6">
        <f t="shared" si="83"/>
        <v>0</v>
      </c>
      <c r="G175" s="2"/>
      <c r="H175" s="7"/>
      <c r="I175" s="2"/>
      <c r="J175" s="6">
        <f t="shared" si="84"/>
        <v>0</v>
      </c>
      <c r="K175" s="2"/>
      <c r="L175" s="7">
        <f t="shared" si="85"/>
        <v>0</v>
      </c>
      <c r="M175" s="2"/>
      <c r="N175" s="6">
        <f t="shared" si="86"/>
        <v>0</v>
      </c>
      <c r="O175" s="11"/>
      <c r="P175" s="7">
        <v>14376.54</v>
      </c>
      <c r="Q175" s="2"/>
      <c r="R175" s="6">
        <f t="shared" si="87"/>
        <v>6.142446730984334E-3</v>
      </c>
      <c r="S175" s="2"/>
      <c r="T175" s="7">
        <v>7922.2</v>
      </c>
      <c r="U175" s="2"/>
      <c r="V175" s="6">
        <f t="shared" si="88"/>
        <v>3.6067581894494573E-3</v>
      </c>
      <c r="W175" s="2"/>
      <c r="X175" s="7">
        <f t="shared" si="89"/>
        <v>6454.3400000000011</v>
      </c>
      <c r="Y175" s="2"/>
      <c r="Z175" s="6">
        <f t="shared" si="90"/>
        <v>0.81471560930044695</v>
      </c>
    </row>
    <row r="176" spans="1:26" s="24" customFormat="1" hidden="1" outlineLevel="2" x14ac:dyDescent="0.25">
      <c r="A176" s="28"/>
      <c r="B176" s="11" t="str">
        <f>CONCATENATE("          ", "6254", " - ", "ROYALTY &amp; COMMISSIONS")</f>
        <v xml:space="preserve">          6254 - ROYALTY &amp; COMMISSIONS</v>
      </c>
      <c r="C176" s="11"/>
      <c r="D176" s="7"/>
      <c r="E176" s="2"/>
      <c r="F176" s="6">
        <f t="shared" si="83"/>
        <v>0</v>
      </c>
      <c r="G176" s="2"/>
      <c r="H176" s="7"/>
      <c r="I176" s="2"/>
      <c r="J176" s="6">
        <f t="shared" si="84"/>
        <v>0</v>
      </c>
      <c r="K176" s="2"/>
      <c r="L176" s="7">
        <f t="shared" si="85"/>
        <v>0</v>
      </c>
      <c r="M176" s="2"/>
      <c r="N176" s="6">
        <f t="shared" si="86"/>
        <v>0</v>
      </c>
      <c r="O176" s="11"/>
      <c r="P176" s="7">
        <v>-7027.5</v>
      </c>
      <c r="Q176" s="2"/>
      <c r="R176" s="6">
        <f t="shared" si="87"/>
        <v>-3.0025336000172789E-3</v>
      </c>
      <c r="S176" s="2"/>
      <c r="T176" s="7"/>
      <c r="U176" s="2"/>
      <c r="V176" s="6">
        <f t="shared" si="88"/>
        <v>0</v>
      </c>
      <c r="W176" s="2"/>
      <c r="X176" s="7">
        <f t="shared" si="89"/>
        <v>-7027.5</v>
      </c>
      <c r="Y176" s="2"/>
      <c r="Z176" s="6">
        <f t="shared" si="90"/>
        <v>0</v>
      </c>
    </row>
    <row r="177" spans="1:26" s="24" customFormat="1" hidden="1" outlineLevel="2" x14ac:dyDescent="0.25">
      <c r="A177" s="28"/>
      <c r="B177" s="11" t="str">
        <f>CONCATENATE("          ", "6259", " - ", "ROYALTY &amp; COMMISSIONS")</f>
        <v xml:space="preserve">          6259 - ROYALTY &amp; COMMISSIONS</v>
      </c>
      <c r="C177" s="11"/>
      <c r="D177" s="7">
        <v>1174.22</v>
      </c>
      <c r="E177" s="2"/>
      <c r="F177" s="6">
        <f t="shared" si="83"/>
        <v>1.9551904360013725E-3</v>
      </c>
      <c r="G177" s="2"/>
      <c r="H177" s="7">
        <v>62.6</v>
      </c>
      <c r="I177" s="2"/>
      <c r="J177" s="6">
        <f t="shared" si="84"/>
        <v>1.6877530652264794E-4</v>
      </c>
      <c r="K177" s="2"/>
      <c r="L177" s="7">
        <f t="shared" si="85"/>
        <v>1111.6200000000001</v>
      </c>
      <c r="M177" s="2"/>
      <c r="N177" s="6">
        <f t="shared" si="86"/>
        <v>17.75750798722045</v>
      </c>
      <c r="O177" s="11"/>
      <c r="P177" s="7">
        <v>1782.17</v>
      </c>
      <c r="Q177" s="2"/>
      <c r="R177" s="6">
        <f t="shared" si="87"/>
        <v>7.6144081194490123E-4</v>
      </c>
      <c r="S177" s="2"/>
      <c r="T177" s="7">
        <v>5384.8</v>
      </c>
      <c r="U177" s="2"/>
      <c r="V177" s="6">
        <f t="shared" si="88"/>
        <v>2.4515502636322534E-3</v>
      </c>
      <c r="W177" s="2"/>
      <c r="X177" s="7">
        <f t="shared" si="89"/>
        <v>-3602.63</v>
      </c>
      <c r="Y177" s="2"/>
      <c r="Z177" s="6">
        <f t="shared" si="90"/>
        <v>-0.66903691873421478</v>
      </c>
    </row>
    <row r="178" spans="1:26" s="27" customFormat="1" outlineLevel="1" collapsed="1" x14ac:dyDescent="0.25">
      <c r="A178" s="29"/>
      <c r="B178" s="14" t="str">
        <f>CONCATENATE("     ","Services                                          ")</f>
        <v xml:space="preserve">     Services                                          </v>
      </c>
      <c r="C178" s="14"/>
      <c r="D178" s="1">
        <f>SUM(OSRRefD22_17x_0)</f>
        <v>4679.8399999999992</v>
      </c>
      <c r="E178" s="1"/>
      <c r="F178" s="5">
        <f t="shared" ref="F178:F183" si="91">IF(D$12=0,0,D178/D$12)</f>
        <v>7.7923884876911157E-3</v>
      </c>
      <c r="G178" s="1"/>
      <c r="H178" s="1">
        <f>SUM(OSRRefH22_17x_0)</f>
        <v>4558.25</v>
      </c>
      <c r="I178" s="1"/>
      <c r="J178" s="5">
        <f t="shared" ref="J178:J183" si="92">IF(H$12=0,0,H178/H$12)</f>
        <v>1.2289457523272523E-2</v>
      </c>
      <c r="K178" s="1"/>
      <c r="L178" s="1">
        <f t="shared" ref="L178:L183" si="93">+D178-H178</f>
        <v>121.58999999999924</v>
      </c>
      <c r="M178" s="1"/>
      <c r="N178" s="5">
        <f t="shared" ref="N178:N183" si="94">IF(H178=0,0,L178/H178)</f>
        <v>2.6674710689409145E-2</v>
      </c>
      <c r="O178" s="14"/>
      <c r="P178" s="1">
        <f>SUM(OSRRefP22_17x_0)</f>
        <v>29572.63</v>
      </c>
      <c r="Q178" s="1"/>
      <c r="R178" s="5">
        <f t="shared" ref="R178:R183" si="95">IF(P$12=0,0,P178/P$12)</f>
        <v>1.2635050190804551E-2</v>
      </c>
      <c r="S178" s="1"/>
      <c r="T178" s="1">
        <f>SUM(OSRRefT22_17x_0)</f>
        <v>7290.01</v>
      </c>
      <c r="U178" s="1"/>
      <c r="V178" s="5">
        <f t="shared" ref="V178:V183" si="96">IF(T$12=0,0,T178/T$12)</f>
        <v>3.3189395961561738E-3</v>
      </c>
      <c r="W178" s="1"/>
      <c r="X178" s="1">
        <f t="shared" ref="X178:X183" si="97">+P178-T178</f>
        <v>22282.620000000003</v>
      </c>
      <c r="Y178" s="1"/>
      <c r="Z178" s="5">
        <f t="shared" ref="Z178:Z183" si="98">IF(T178=0,0,X178/T178)</f>
        <v>3.0565966301829492</v>
      </c>
    </row>
    <row r="179" spans="1:26" s="24" customFormat="1" hidden="1" outlineLevel="2" x14ac:dyDescent="0.25">
      <c r="A179" s="28"/>
      <c r="B179" s="11" t="str">
        <f>CONCATENATE("          ", "6282", " - ", "JANITORIAL/EXTERMINATOR EXPENS")</f>
        <v xml:space="preserve">          6282 - JANITORIAL/EXTERMINATOR EXPENS</v>
      </c>
      <c r="C179" s="11"/>
      <c r="D179" s="7">
        <v>1004.82</v>
      </c>
      <c r="E179" s="2"/>
      <c r="F179" s="6">
        <f t="shared" si="91"/>
        <v>1.6731229700591875E-3</v>
      </c>
      <c r="G179" s="2"/>
      <c r="H179" s="7">
        <v>307.5</v>
      </c>
      <c r="I179" s="2"/>
      <c r="J179" s="6">
        <f t="shared" si="92"/>
        <v>8.2904803124144149E-4</v>
      </c>
      <c r="K179" s="2"/>
      <c r="L179" s="7">
        <f t="shared" si="93"/>
        <v>697.32</v>
      </c>
      <c r="M179" s="2"/>
      <c r="N179" s="6">
        <f t="shared" si="94"/>
        <v>2.267707317073171</v>
      </c>
      <c r="O179" s="11"/>
      <c r="P179" s="7">
        <v>1767.92</v>
      </c>
      <c r="Q179" s="2"/>
      <c r="R179" s="6">
        <f t="shared" si="95"/>
        <v>7.5535243004518646E-4</v>
      </c>
      <c r="S179" s="2"/>
      <c r="T179" s="7">
        <v>14.78</v>
      </c>
      <c r="U179" s="2"/>
      <c r="V179" s="6">
        <f t="shared" si="96"/>
        <v>6.7289245462198601E-6</v>
      </c>
      <c r="W179" s="2"/>
      <c r="X179" s="7">
        <f t="shared" si="97"/>
        <v>1753.14</v>
      </c>
      <c r="Y179" s="2"/>
      <c r="Z179" s="6">
        <f t="shared" si="98"/>
        <v>118.61569688768607</v>
      </c>
    </row>
    <row r="180" spans="1:26" s="24" customFormat="1" hidden="1" outlineLevel="2" x14ac:dyDescent="0.25">
      <c r="A180" s="28"/>
      <c r="B180" s="11" t="str">
        <f>CONCATENATE("          ", "6283", " - ", "PLANT SERVICE")</f>
        <v xml:space="preserve">          6283 - PLANT SERVICE</v>
      </c>
      <c r="C180" s="11"/>
      <c r="D180" s="7"/>
      <c r="E180" s="2"/>
      <c r="F180" s="6">
        <f t="shared" si="91"/>
        <v>0</v>
      </c>
      <c r="G180" s="2"/>
      <c r="H180" s="7"/>
      <c r="I180" s="2"/>
      <c r="J180" s="6">
        <f t="shared" si="92"/>
        <v>0</v>
      </c>
      <c r="K180" s="2"/>
      <c r="L180" s="7">
        <f t="shared" si="93"/>
        <v>0</v>
      </c>
      <c r="M180" s="2"/>
      <c r="N180" s="6">
        <f t="shared" si="94"/>
        <v>0</v>
      </c>
      <c r="O180" s="11"/>
      <c r="P180" s="7"/>
      <c r="Q180" s="2"/>
      <c r="R180" s="6">
        <f t="shared" si="95"/>
        <v>0</v>
      </c>
      <c r="S180" s="2"/>
      <c r="T180" s="7">
        <v>130</v>
      </c>
      <c r="U180" s="2"/>
      <c r="V180" s="6">
        <f t="shared" si="96"/>
        <v>5.9185398579741671E-5</v>
      </c>
      <c r="W180" s="2"/>
      <c r="X180" s="7">
        <f t="shared" si="97"/>
        <v>-130</v>
      </c>
      <c r="Y180" s="2"/>
      <c r="Z180" s="6">
        <f t="shared" si="98"/>
        <v>-1</v>
      </c>
    </row>
    <row r="181" spans="1:26" s="24" customFormat="1" hidden="1" outlineLevel="2" x14ac:dyDescent="0.25">
      <c r="A181" s="28"/>
      <c r="B181" s="11" t="str">
        <f>CONCATENATE("          ", "6284", " - ", "TRASH REMOVAL EXPENSE")</f>
        <v xml:space="preserve">          6284 - TRASH REMOVAL EXPENSE</v>
      </c>
      <c r="C181" s="11"/>
      <c r="D181" s="7">
        <v>149.69999999999999</v>
      </c>
      <c r="E181" s="2"/>
      <c r="F181" s="6">
        <f t="shared" si="91"/>
        <v>2.4926505107169476E-4</v>
      </c>
      <c r="G181" s="2"/>
      <c r="H181" s="7">
        <v>142.57</v>
      </c>
      <c r="I181" s="2"/>
      <c r="J181" s="6">
        <f t="shared" si="92"/>
        <v>3.8438171646859289E-4</v>
      </c>
      <c r="K181" s="2"/>
      <c r="L181" s="7">
        <f t="shared" si="93"/>
        <v>7.1299999999999955</v>
      </c>
      <c r="M181" s="2"/>
      <c r="N181" s="6">
        <f t="shared" si="94"/>
        <v>5.0010521147506461E-2</v>
      </c>
      <c r="O181" s="11"/>
      <c r="P181" s="7">
        <v>441.97</v>
      </c>
      <c r="Q181" s="2"/>
      <c r="R181" s="6">
        <f t="shared" si="95"/>
        <v>1.8883383496259506E-4</v>
      </c>
      <c r="S181" s="2"/>
      <c r="T181" s="7">
        <v>427.71</v>
      </c>
      <c r="U181" s="2"/>
      <c r="V181" s="6">
        <f t="shared" si="96"/>
        <v>1.9472451405031776E-4</v>
      </c>
      <c r="W181" s="2"/>
      <c r="X181" s="7">
        <f t="shared" si="97"/>
        <v>14.260000000000048</v>
      </c>
      <c r="Y181" s="2"/>
      <c r="Z181" s="6">
        <f t="shared" si="98"/>
        <v>3.3340347431671108E-2</v>
      </c>
    </row>
    <row r="182" spans="1:26" s="24" customFormat="1" hidden="1" outlineLevel="2" x14ac:dyDescent="0.25">
      <c r="A182" s="28"/>
      <c r="B182" s="11" t="str">
        <f>CONCATENATE("          ", "6285", " - ", "JANITORIAL SERVICES")</f>
        <v xml:space="preserve">          6285 - JANITORIAL SERVICES</v>
      </c>
      <c r="C182" s="11"/>
      <c r="D182" s="7">
        <v>3473.38</v>
      </c>
      <c r="E182" s="2"/>
      <c r="F182" s="6">
        <f t="shared" si="91"/>
        <v>5.7835153179118456E-3</v>
      </c>
      <c r="G182" s="2"/>
      <c r="H182" s="7">
        <v>4108.18</v>
      </c>
      <c r="I182" s="2"/>
      <c r="J182" s="6">
        <f t="shared" si="92"/>
        <v>1.107602777556249E-2</v>
      </c>
      <c r="K182" s="2"/>
      <c r="L182" s="7">
        <f t="shared" si="93"/>
        <v>-634.80000000000018</v>
      </c>
      <c r="M182" s="2"/>
      <c r="N182" s="6">
        <f t="shared" si="94"/>
        <v>-0.15452098009337473</v>
      </c>
      <c r="O182" s="11"/>
      <c r="P182" s="7">
        <v>27258.86</v>
      </c>
      <c r="Q182" s="2"/>
      <c r="R182" s="6">
        <f t="shared" si="95"/>
        <v>1.1646480689885023E-2</v>
      </c>
      <c r="S182" s="2"/>
      <c r="T182" s="7">
        <v>6717.52</v>
      </c>
      <c r="U182" s="2"/>
      <c r="V182" s="6">
        <f t="shared" si="96"/>
        <v>3.0583007589798945E-3</v>
      </c>
      <c r="W182" s="2"/>
      <c r="X182" s="7">
        <f t="shared" si="97"/>
        <v>20541.34</v>
      </c>
      <c r="Y182" s="2"/>
      <c r="Z182" s="6">
        <f t="shared" si="98"/>
        <v>3.0578755254915504</v>
      </c>
    </row>
    <row r="183" spans="1:26" s="24" customFormat="1" hidden="1" outlineLevel="2" x14ac:dyDescent="0.25">
      <c r="A183" s="28"/>
      <c r="B183" s="11" t="str">
        <f>CONCATENATE("          ", "6286", " - ", "LAUNDRY EXPENSE")</f>
        <v xml:space="preserve">          6286 - LAUNDRY EXPENSE</v>
      </c>
      <c r="C183" s="11"/>
      <c r="D183" s="7">
        <v>51.94</v>
      </c>
      <c r="E183" s="2"/>
      <c r="F183" s="6">
        <f t="shared" si="91"/>
        <v>8.6485148648388963E-5</v>
      </c>
      <c r="G183" s="2"/>
      <c r="H183" s="7"/>
      <c r="I183" s="2"/>
      <c r="J183" s="6">
        <f t="shared" si="92"/>
        <v>0</v>
      </c>
      <c r="K183" s="2"/>
      <c r="L183" s="7">
        <f t="shared" si="93"/>
        <v>51.94</v>
      </c>
      <c r="M183" s="2"/>
      <c r="N183" s="6">
        <f t="shared" si="94"/>
        <v>0</v>
      </c>
      <c r="O183" s="11"/>
      <c r="P183" s="7">
        <v>103.88</v>
      </c>
      <c r="Q183" s="2"/>
      <c r="R183" s="6">
        <f t="shared" si="95"/>
        <v>4.4383235911745981E-5</v>
      </c>
      <c r="S183" s="2"/>
      <c r="T183" s="7"/>
      <c r="U183" s="2"/>
      <c r="V183" s="6">
        <f t="shared" si="96"/>
        <v>0</v>
      </c>
      <c r="W183" s="2"/>
      <c r="X183" s="7">
        <f t="shared" si="97"/>
        <v>103.88</v>
      </c>
      <c r="Y183" s="2"/>
      <c r="Z183" s="6">
        <f t="shared" si="98"/>
        <v>0</v>
      </c>
    </row>
    <row r="184" spans="1:26" s="27" customFormat="1" outlineLevel="1" collapsed="1" x14ac:dyDescent="0.25">
      <c r="A184" s="29"/>
      <c r="B184" s="14" t="str">
        <f>CONCATENATE("     ","Subscriptions &amp; Dues                              ")</f>
        <v xml:space="preserve">     Subscriptions &amp; Dues                              </v>
      </c>
      <c r="C184" s="14"/>
      <c r="D184" s="1">
        <f>SUM(OSRRefD22_18x_0)</f>
        <v>-72.56</v>
      </c>
      <c r="E184" s="1"/>
      <c r="F184" s="5">
        <f t="shared" ref="F184:F186" si="99">IF(D$12=0,0,D184/D$12)</f>
        <v>-1.208194529443031E-4</v>
      </c>
      <c r="G184" s="1"/>
      <c r="H184" s="1">
        <f>SUM(OSRRefH22_18x_0)</f>
        <v>148.77000000000001</v>
      </c>
      <c r="I184" s="1"/>
      <c r="J184" s="5">
        <f t="shared" ref="J184:J186" si="100">IF(H$12=0,0,H184/H$12)</f>
        <v>4.0109748165134722E-4</v>
      </c>
      <c r="K184" s="1"/>
      <c r="L184" s="1">
        <f t="shared" ref="L184:L186" si="101">+D184-H184</f>
        <v>-221.33</v>
      </c>
      <c r="M184" s="1"/>
      <c r="N184" s="5">
        <f t="shared" ref="N184:N186" si="102">IF(H184=0,0,L184/H184)</f>
        <v>-1.4877327418162263</v>
      </c>
      <c r="O184" s="14"/>
      <c r="P184" s="1">
        <f>SUM(OSRRefP22_18x_0)</f>
        <v>52.76</v>
      </c>
      <c r="Q184" s="1"/>
      <c r="R184" s="5">
        <f t="shared" ref="R184:R186" si="103">IF(P$12=0,0,P184/P$12)</f>
        <v>2.2541966949400442E-5</v>
      </c>
      <c r="S184" s="1"/>
      <c r="T184" s="1">
        <f>SUM(OSRRefT22_18x_0)</f>
        <v>783.77</v>
      </c>
      <c r="U184" s="1"/>
      <c r="V184" s="5">
        <f t="shared" ref="V184:V186" si="104">IF(T$12=0,0,T184/T$12)</f>
        <v>3.5682876803726254E-4</v>
      </c>
      <c r="W184" s="1"/>
      <c r="X184" s="1">
        <f t="shared" ref="X184:X186" si="105">+P184-T184</f>
        <v>-731.01</v>
      </c>
      <c r="Y184" s="1"/>
      <c r="Z184" s="5">
        <f t="shared" ref="Z184:Z186" si="106">IF(T184=0,0,X184/T184)</f>
        <v>-0.93268433341413937</v>
      </c>
    </row>
    <row r="185" spans="1:26" s="24" customFormat="1" hidden="1" outlineLevel="2" x14ac:dyDescent="0.25">
      <c r="A185" s="28"/>
      <c r="B185" s="11" t="str">
        <f>CONCATENATE("          ", "6258", " - ", "MEMBERSHIP DUES")</f>
        <v xml:space="preserve">          6258 - MEMBERSHIP DUES</v>
      </c>
      <c r="C185" s="11"/>
      <c r="D185" s="7">
        <v>-72.56</v>
      </c>
      <c r="E185" s="2"/>
      <c r="F185" s="6">
        <f t="shared" si="99"/>
        <v>-1.208194529443031E-4</v>
      </c>
      <c r="G185" s="2"/>
      <c r="H185" s="7">
        <v>73.040000000000006</v>
      </c>
      <c r="I185" s="2"/>
      <c r="J185" s="6">
        <f t="shared" si="100"/>
        <v>1.9692249821747933E-4</v>
      </c>
      <c r="K185" s="2"/>
      <c r="L185" s="7">
        <f t="shared" si="101"/>
        <v>-145.60000000000002</v>
      </c>
      <c r="M185" s="2"/>
      <c r="N185" s="6">
        <f t="shared" si="102"/>
        <v>-1.9934282584884997</v>
      </c>
      <c r="O185" s="11"/>
      <c r="P185" s="7">
        <v>52.76</v>
      </c>
      <c r="Q185" s="2"/>
      <c r="R185" s="6">
        <f t="shared" si="103"/>
        <v>2.2541966949400442E-5</v>
      </c>
      <c r="S185" s="2"/>
      <c r="T185" s="7">
        <v>633.04</v>
      </c>
      <c r="U185" s="2"/>
      <c r="V185" s="6">
        <f t="shared" si="104"/>
        <v>2.8820557474553587E-4</v>
      </c>
      <c r="W185" s="2"/>
      <c r="X185" s="7">
        <f t="shared" si="105"/>
        <v>-580.28</v>
      </c>
      <c r="Y185" s="2"/>
      <c r="Z185" s="6">
        <f t="shared" si="106"/>
        <v>-0.91665613547327185</v>
      </c>
    </row>
    <row r="186" spans="1:26" s="24" customFormat="1" hidden="1" outlineLevel="2" x14ac:dyDescent="0.25">
      <c r="A186" s="28"/>
      <c r="B186" s="11" t="str">
        <f>CONCATENATE("          ", "6275", " - ", "SUBSCRIPTIONS")</f>
        <v xml:space="preserve">          6275 - SUBSCRIPTIONS</v>
      </c>
      <c r="C186" s="11"/>
      <c r="D186" s="7"/>
      <c r="E186" s="2"/>
      <c r="F186" s="6">
        <f t="shared" si="99"/>
        <v>0</v>
      </c>
      <c r="G186" s="2"/>
      <c r="H186" s="7">
        <v>75.73</v>
      </c>
      <c r="I186" s="2"/>
      <c r="J186" s="6">
        <f t="shared" si="100"/>
        <v>2.0417498343386787E-4</v>
      </c>
      <c r="K186" s="2"/>
      <c r="L186" s="7">
        <f t="shared" si="101"/>
        <v>-75.73</v>
      </c>
      <c r="M186" s="2"/>
      <c r="N186" s="6">
        <f t="shared" si="102"/>
        <v>-1</v>
      </c>
      <c r="O186" s="11"/>
      <c r="P186" s="7"/>
      <c r="Q186" s="2"/>
      <c r="R186" s="6">
        <f t="shared" si="103"/>
        <v>0</v>
      </c>
      <c r="S186" s="2"/>
      <c r="T186" s="7">
        <v>150.72999999999999</v>
      </c>
      <c r="U186" s="2"/>
      <c r="V186" s="6">
        <f t="shared" si="104"/>
        <v>6.8623193291726629E-5</v>
      </c>
      <c r="W186" s="2"/>
      <c r="X186" s="7">
        <f t="shared" si="105"/>
        <v>-150.72999999999999</v>
      </c>
      <c r="Y186" s="2"/>
      <c r="Z186" s="6">
        <f t="shared" si="106"/>
        <v>-1</v>
      </c>
    </row>
    <row r="187" spans="1:26" s="27" customFormat="1" outlineLevel="1" collapsed="1" x14ac:dyDescent="0.25">
      <c r="A187" s="29"/>
      <c r="B187" s="14" t="str">
        <f>CONCATENATE("     ","Supplies                                          ")</f>
        <v xml:space="preserve">     Supplies                                          </v>
      </c>
      <c r="C187" s="14"/>
      <c r="D187" s="1">
        <f>SUM(OSRRefD22_19x_0)</f>
        <v>5529.02</v>
      </c>
      <c r="E187" s="1"/>
      <c r="F187" s="5">
        <f t="shared" ref="F187:F194" si="107">IF(D$12=0,0,D187/D$12)</f>
        <v>9.2063557293014173E-3</v>
      </c>
      <c r="G187" s="1"/>
      <c r="H187" s="1">
        <f>SUM(OSRRefH22_19x_0)</f>
        <v>14576.420000000002</v>
      </c>
      <c r="I187" s="1"/>
      <c r="J187" s="5">
        <f t="shared" ref="J187:J194" si="108">IF(H$12=0,0,H187/H$12)</f>
        <v>3.9299357084710163E-2</v>
      </c>
      <c r="K187" s="1"/>
      <c r="L187" s="1">
        <f t="shared" ref="L187:L194" si="109">+D187-H187</f>
        <v>-9047.4000000000015</v>
      </c>
      <c r="M187" s="1"/>
      <c r="N187" s="5">
        <f t="shared" ref="N187:N194" si="110">IF(H187=0,0,L187/H187)</f>
        <v>-0.62068738414507818</v>
      </c>
      <c r="O187" s="14"/>
      <c r="P187" s="1">
        <f>SUM(OSRRefP22_19x_0)</f>
        <v>28606.43</v>
      </c>
      <c r="Q187" s="1"/>
      <c r="R187" s="5">
        <f t="shared" ref="R187:R194" si="111">IF(P$12=0,0,P187/P$12)</f>
        <v>1.2222236535260375E-2</v>
      </c>
      <c r="S187" s="1"/>
      <c r="T187" s="1">
        <f>SUM(OSRRefT22_19x_0)</f>
        <v>34443.229999999996</v>
      </c>
      <c r="U187" s="1"/>
      <c r="V187" s="5">
        <f t="shared" ref="V187:V194" si="112">IF(T$12=0,0,T187/T$12)</f>
        <v>1.5681048430182427E-2</v>
      </c>
      <c r="W187" s="1"/>
      <c r="X187" s="1">
        <f t="shared" ref="X187:X194" si="113">+P187-T187</f>
        <v>-5836.7999999999956</v>
      </c>
      <c r="Y187" s="1"/>
      <c r="Z187" s="5">
        <f t="shared" ref="Z187:Z194" si="114">IF(T187=0,0,X187/T187)</f>
        <v>-0.16946145875401339</v>
      </c>
    </row>
    <row r="188" spans="1:26" s="24" customFormat="1" hidden="1" outlineLevel="2" x14ac:dyDescent="0.25">
      <c r="A188" s="28"/>
      <c r="B188" s="11" t="str">
        <f>CONCATENATE("          ", "6234", " - ", "EXPENDABLE SUPPLIES &amp; EQUIPMEN")</f>
        <v xml:space="preserve">          6234 - EXPENDABLE SUPPLIES &amp; EQUIPMEN</v>
      </c>
      <c r="C188" s="11"/>
      <c r="D188" s="7"/>
      <c r="E188" s="2"/>
      <c r="F188" s="6">
        <f t="shared" si="107"/>
        <v>0</v>
      </c>
      <c r="G188" s="2"/>
      <c r="H188" s="7">
        <v>316.67</v>
      </c>
      <c r="I188" s="2"/>
      <c r="J188" s="6">
        <f t="shared" si="108"/>
        <v>8.5377118716496682E-4</v>
      </c>
      <c r="K188" s="2"/>
      <c r="L188" s="7">
        <f t="shared" si="109"/>
        <v>-316.67</v>
      </c>
      <c r="M188" s="2"/>
      <c r="N188" s="6">
        <f t="shared" si="110"/>
        <v>-1</v>
      </c>
      <c r="O188" s="11"/>
      <c r="P188" s="7"/>
      <c r="Q188" s="2"/>
      <c r="R188" s="6">
        <f t="shared" si="111"/>
        <v>0</v>
      </c>
      <c r="S188" s="2"/>
      <c r="T188" s="7">
        <v>316.67</v>
      </c>
      <c r="U188" s="2"/>
      <c r="V188" s="6">
        <f t="shared" si="112"/>
        <v>1.4417107821728303E-4</v>
      </c>
      <c r="W188" s="2"/>
      <c r="X188" s="7">
        <f t="shared" si="113"/>
        <v>-316.67</v>
      </c>
      <c r="Y188" s="2"/>
      <c r="Z188" s="6">
        <f t="shared" si="114"/>
        <v>-1</v>
      </c>
    </row>
    <row r="189" spans="1:26" s="24" customFormat="1" hidden="1" outlineLevel="2" x14ac:dyDescent="0.25">
      <c r="A189" s="28"/>
      <c r="B189" s="11" t="str">
        <f>CONCATENATE("          ", "6235", " - ", "COVID-19 EXPENSES")</f>
        <v xml:space="preserve">          6235 - COVID-19 EXPENSES</v>
      </c>
      <c r="C189" s="11"/>
      <c r="D189" s="7">
        <v>462.49</v>
      </c>
      <c r="E189" s="2"/>
      <c r="F189" s="6">
        <f t="shared" si="107"/>
        <v>7.7009080474380845E-4</v>
      </c>
      <c r="G189" s="2"/>
      <c r="H189" s="7">
        <v>2460.7800000000002</v>
      </c>
      <c r="I189" s="2"/>
      <c r="J189" s="6">
        <f t="shared" si="108"/>
        <v>6.63448720103517E-3</v>
      </c>
      <c r="K189" s="2"/>
      <c r="L189" s="7">
        <f t="shared" si="109"/>
        <v>-1998.2900000000002</v>
      </c>
      <c r="M189" s="2"/>
      <c r="N189" s="6">
        <f t="shared" si="110"/>
        <v>-0.81205552710929052</v>
      </c>
      <c r="O189" s="11"/>
      <c r="P189" s="7">
        <v>3430.32</v>
      </c>
      <c r="Q189" s="2"/>
      <c r="R189" s="6">
        <f t="shared" si="111"/>
        <v>1.4656209261915719E-3</v>
      </c>
      <c r="S189" s="2"/>
      <c r="T189" s="7">
        <v>9301.94</v>
      </c>
      <c r="U189" s="2"/>
      <c r="V189" s="6">
        <f t="shared" si="112"/>
        <v>4.2349155881910945E-3</v>
      </c>
      <c r="W189" s="2"/>
      <c r="X189" s="7">
        <f t="shared" si="113"/>
        <v>-5871.6200000000008</v>
      </c>
      <c r="Y189" s="2"/>
      <c r="Z189" s="6">
        <f t="shared" si="114"/>
        <v>-0.63122531428927731</v>
      </c>
    </row>
    <row r="190" spans="1:26" s="24" customFormat="1" hidden="1" outlineLevel="2" x14ac:dyDescent="0.25">
      <c r="A190" s="28"/>
      <c r="B190" s="11" t="str">
        <f>CONCATENATE("          ", "6237", " - ", "JANITORIAL SUPPLIES")</f>
        <v xml:space="preserve">          6237 - JANITORIAL SUPPLIES</v>
      </c>
      <c r="C190" s="11"/>
      <c r="D190" s="7">
        <v>366.22</v>
      </c>
      <c r="E190" s="2"/>
      <c r="F190" s="6">
        <f t="shared" si="107"/>
        <v>6.0979189715080877E-4</v>
      </c>
      <c r="G190" s="2"/>
      <c r="H190" s="7">
        <v>317.57</v>
      </c>
      <c r="I190" s="2"/>
      <c r="J190" s="6">
        <f t="shared" si="108"/>
        <v>8.561976692076247E-4</v>
      </c>
      <c r="K190" s="2"/>
      <c r="L190" s="7">
        <f t="shared" si="109"/>
        <v>48.650000000000034</v>
      </c>
      <c r="M190" s="2"/>
      <c r="N190" s="6">
        <f t="shared" si="110"/>
        <v>0.15319457127562439</v>
      </c>
      <c r="O190" s="11"/>
      <c r="P190" s="7">
        <v>2599.87</v>
      </c>
      <c r="Q190" s="2"/>
      <c r="R190" s="6">
        <f t="shared" si="111"/>
        <v>1.1108071192709958E-3</v>
      </c>
      <c r="S190" s="2"/>
      <c r="T190" s="7">
        <v>456.88</v>
      </c>
      <c r="U190" s="2"/>
      <c r="V190" s="6">
        <f t="shared" si="112"/>
        <v>2.0800480694701826E-4</v>
      </c>
      <c r="W190" s="2"/>
      <c r="X190" s="7">
        <f t="shared" si="113"/>
        <v>2142.9899999999998</v>
      </c>
      <c r="Y190" s="2"/>
      <c r="Z190" s="6">
        <f t="shared" si="114"/>
        <v>4.6904876554018555</v>
      </c>
    </row>
    <row r="191" spans="1:26" s="24" customFormat="1" hidden="1" outlineLevel="2" x14ac:dyDescent="0.25">
      <c r="A191" s="28"/>
      <c r="B191" s="11" t="str">
        <f>CONCATENATE("          ", "6241", " - ", "OFFICE EXPENSE")</f>
        <v xml:space="preserve">          6241 - OFFICE EXPENSE</v>
      </c>
      <c r="C191" s="11"/>
      <c r="D191" s="7">
        <v>278.41000000000003</v>
      </c>
      <c r="E191" s="2"/>
      <c r="F191" s="6">
        <f t="shared" si="107"/>
        <v>4.6357971188290282E-4</v>
      </c>
      <c r="G191" s="2"/>
      <c r="H191" s="7">
        <v>4845.55</v>
      </c>
      <c r="I191" s="2"/>
      <c r="J191" s="6">
        <f t="shared" si="108"/>
        <v>1.3064044513112088E-2</v>
      </c>
      <c r="K191" s="2"/>
      <c r="L191" s="7">
        <f t="shared" si="109"/>
        <v>-4567.1400000000003</v>
      </c>
      <c r="M191" s="2"/>
      <c r="N191" s="6">
        <f t="shared" si="110"/>
        <v>-0.942543158155421</v>
      </c>
      <c r="O191" s="11"/>
      <c r="P191" s="7">
        <v>6173.89</v>
      </c>
      <c r="Q191" s="2"/>
      <c r="R191" s="6">
        <f t="shared" si="111"/>
        <v>2.637824570303903E-3</v>
      </c>
      <c r="S191" s="2"/>
      <c r="T191" s="7">
        <v>7610.79</v>
      </c>
      <c r="U191" s="2"/>
      <c r="V191" s="6">
        <f t="shared" si="112"/>
        <v>3.4649818435131701E-3</v>
      </c>
      <c r="W191" s="2"/>
      <c r="X191" s="7">
        <f t="shared" si="113"/>
        <v>-1436.8999999999996</v>
      </c>
      <c r="Y191" s="2"/>
      <c r="Z191" s="6">
        <f t="shared" si="114"/>
        <v>-0.18879774635747401</v>
      </c>
    </row>
    <row r="192" spans="1:26" s="24" customFormat="1" hidden="1" outlineLevel="2" x14ac:dyDescent="0.25">
      <c r="A192" s="28"/>
      <c r="B192" s="11" t="str">
        <f>CONCATENATE("          ", "6243", " - ", "PAPER SUPPLIES")</f>
        <v xml:space="preserve">          6243 - PAPER SUPPLIES</v>
      </c>
      <c r="C192" s="11"/>
      <c r="D192" s="7"/>
      <c r="E192" s="2"/>
      <c r="F192" s="6">
        <f t="shared" si="107"/>
        <v>0</v>
      </c>
      <c r="G192" s="2"/>
      <c r="H192" s="7"/>
      <c r="I192" s="2"/>
      <c r="J192" s="6">
        <f t="shared" si="108"/>
        <v>0</v>
      </c>
      <c r="K192" s="2"/>
      <c r="L192" s="7">
        <f t="shared" si="109"/>
        <v>0</v>
      </c>
      <c r="M192" s="2"/>
      <c r="N192" s="6">
        <f t="shared" si="110"/>
        <v>0</v>
      </c>
      <c r="O192" s="11"/>
      <c r="P192" s="7">
        <v>3450.92</v>
      </c>
      <c r="Q192" s="2"/>
      <c r="R192" s="6">
        <f t="shared" si="111"/>
        <v>1.4744223765167737E-3</v>
      </c>
      <c r="S192" s="2"/>
      <c r="T192" s="7">
        <v>3124.69</v>
      </c>
      <c r="U192" s="2"/>
      <c r="V192" s="6">
        <f t="shared" si="112"/>
        <v>1.4225847929856385E-3</v>
      </c>
      <c r="W192" s="2"/>
      <c r="X192" s="7">
        <f t="shared" si="113"/>
        <v>326.23</v>
      </c>
      <c r="Y192" s="2"/>
      <c r="Z192" s="6">
        <f t="shared" si="114"/>
        <v>0.10440395687252176</v>
      </c>
    </row>
    <row r="193" spans="1:26" s="24" customFormat="1" hidden="1" outlineLevel="2" x14ac:dyDescent="0.25">
      <c r="A193" s="28"/>
      <c r="B193" s="11" t="str">
        <f>CONCATENATE("          ", "6245", " - ", "PRINTING")</f>
        <v xml:space="preserve">          6245 - PRINTING</v>
      </c>
      <c r="C193" s="11"/>
      <c r="D193" s="7">
        <v>276.43</v>
      </c>
      <c r="E193" s="2"/>
      <c r="F193" s="6">
        <f t="shared" si="107"/>
        <v>4.6028281942383831E-4</v>
      </c>
      <c r="G193" s="2"/>
      <c r="H193" s="7">
        <v>356.96</v>
      </c>
      <c r="I193" s="2"/>
      <c r="J193" s="6">
        <f t="shared" si="108"/>
        <v>9.6239669994128442E-4</v>
      </c>
      <c r="K193" s="2"/>
      <c r="L193" s="7">
        <f t="shared" si="109"/>
        <v>-80.529999999999973</v>
      </c>
      <c r="M193" s="2"/>
      <c r="N193" s="6">
        <f t="shared" si="110"/>
        <v>-0.22559950694755709</v>
      </c>
      <c r="O193" s="11"/>
      <c r="P193" s="7">
        <v>-323.75</v>
      </c>
      <c r="Q193" s="2"/>
      <c r="R193" s="6">
        <f t="shared" si="111"/>
        <v>-1.3832376421282021E-4</v>
      </c>
      <c r="S193" s="2"/>
      <c r="T193" s="7">
        <v>61.46</v>
      </c>
      <c r="U193" s="2"/>
      <c r="V193" s="6">
        <f t="shared" si="112"/>
        <v>2.7981035359314792E-5</v>
      </c>
      <c r="W193" s="2"/>
      <c r="X193" s="7">
        <f t="shared" si="113"/>
        <v>-385.21</v>
      </c>
      <c r="Y193" s="2"/>
      <c r="Z193" s="6">
        <f t="shared" si="114"/>
        <v>-6.2676537585421412</v>
      </c>
    </row>
    <row r="194" spans="1:26" s="24" customFormat="1" hidden="1" outlineLevel="2" x14ac:dyDescent="0.25">
      <c r="A194" s="28"/>
      <c r="B194" s="11" t="str">
        <f>CONCATENATE("          ", "6247", " - ", "STORE SUPPLIES")</f>
        <v xml:space="preserve">          6247 - STORE SUPPLIES</v>
      </c>
      <c r="C194" s="11"/>
      <c r="D194" s="7">
        <v>4145.47</v>
      </c>
      <c r="E194" s="2"/>
      <c r="F194" s="6">
        <f t="shared" si="107"/>
        <v>6.9026104961000577E-3</v>
      </c>
      <c r="G194" s="2"/>
      <c r="H194" s="7">
        <v>6278.89</v>
      </c>
      <c r="I194" s="2"/>
      <c r="J194" s="6">
        <f t="shared" si="108"/>
        <v>1.6928459814249026E-2</v>
      </c>
      <c r="K194" s="2"/>
      <c r="L194" s="7">
        <f t="shared" si="109"/>
        <v>-2133.42</v>
      </c>
      <c r="M194" s="2"/>
      <c r="N194" s="6">
        <f t="shared" si="110"/>
        <v>-0.33977661656757802</v>
      </c>
      <c r="O194" s="11"/>
      <c r="P194" s="7">
        <v>13275.18</v>
      </c>
      <c r="Q194" s="2"/>
      <c r="R194" s="6">
        <f t="shared" si="111"/>
        <v>5.6718853071899503E-3</v>
      </c>
      <c r="S194" s="2"/>
      <c r="T194" s="7">
        <v>13570.8</v>
      </c>
      <c r="U194" s="2"/>
      <c r="V194" s="6">
        <f t="shared" si="112"/>
        <v>6.1784092849689089E-3</v>
      </c>
      <c r="W194" s="2"/>
      <c r="X194" s="7">
        <f t="shared" si="113"/>
        <v>-295.61999999999898</v>
      </c>
      <c r="Y194" s="2"/>
      <c r="Z194" s="6">
        <f t="shared" si="114"/>
        <v>-2.178353523742145E-2</v>
      </c>
    </row>
    <row r="195" spans="1:26" s="27" customFormat="1" outlineLevel="1" collapsed="1" x14ac:dyDescent="0.25">
      <c r="A195" s="29"/>
      <c r="B195" s="14" t="str">
        <f>CONCATENATE("     ","Telephone/Data Lines                              ")</f>
        <v xml:space="preserve">     Telephone/Data Lines                              </v>
      </c>
      <c r="C195" s="14"/>
      <c r="D195" s="1">
        <f>SUM(OSRRefD22_20x_0)</f>
        <v>1901.69</v>
      </c>
      <c r="E195" s="1"/>
      <c r="F195" s="5">
        <f t="shared" ref="F195:F197" si="115">IF(D$12=0,0,D195/D$12)</f>
        <v>3.1664986972112976E-3</v>
      </c>
      <c r="G195" s="1"/>
      <c r="H195" s="1">
        <f>SUM(OSRRefH22_20x_0)</f>
        <v>5389.41</v>
      </c>
      <c r="I195" s="1"/>
      <c r="J195" s="5">
        <f t="shared" ref="J195:J197" si="116">IF(H$12=0,0,H195/H$12)</f>
        <v>1.4530340650578658E-2</v>
      </c>
      <c r="K195" s="1"/>
      <c r="L195" s="1">
        <f t="shared" ref="L195:L197" si="117">+D195-H195</f>
        <v>-3487.72</v>
      </c>
      <c r="M195" s="1"/>
      <c r="N195" s="5">
        <f t="shared" ref="N195:N197" si="118">IF(H195=0,0,L195/H195)</f>
        <v>-0.64714319378187968</v>
      </c>
      <c r="O195" s="14"/>
      <c r="P195" s="1">
        <f>SUM(OSRRefP22_20x_0)</f>
        <v>5863.32</v>
      </c>
      <c r="Q195" s="1"/>
      <c r="R195" s="5">
        <f t="shared" ref="R195:R197" si="119">IF(P$12=0,0,P195/P$12)</f>
        <v>2.5051320252797312E-3</v>
      </c>
      <c r="S195" s="1"/>
      <c r="T195" s="1">
        <f>SUM(OSRRefT22_20x_0)</f>
        <v>10637.03</v>
      </c>
      <c r="U195" s="1"/>
      <c r="V195" s="5">
        <f t="shared" ref="V195:V197" si="120">IF(T$12=0,0,T195/T$12)</f>
        <v>4.8427450788820735E-3</v>
      </c>
      <c r="W195" s="1"/>
      <c r="X195" s="1">
        <f t="shared" ref="X195:X197" si="121">+P195-T195</f>
        <v>-4773.7100000000009</v>
      </c>
      <c r="Y195" s="1"/>
      <c r="Z195" s="5">
        <f t="shared" ref="Z195:Z197" si="122">IF(T195=0,0,X195/T195)</f>
        <v>-0.44878222586567873</v>
      </c>
    </row>
    <row r="196" spans="1:26" s="24" customFormat="1" hidden="1" outlineLevel="2" x14ac:dyDescent="0.25">
      <c r="A196" s="28"/>
      <c r="B196" s="11" t="str">
        <f>CONCATENATE("          ", "6303", " - ", "DATA PHONE LINES")</f>
        <v xml:space="preserve">          6303 - DATA PHONE LINES</v>
      </c>
      <c r="C196" s="11"/>
      <c r="D196" s="7"/>
      <c r="E196" s="2"/>
      <c r="F196" s="6">
        <f t="shared" si="115"/>
        <v>0</v>
      </c>
      <c r="G196" s="2"/>
      <c r="H196" s="7">
        <v>885</v>
      </c>
      <c r="I196" s="2"/>
      <c r="J196" s="6">
        <f t="shared" si="116"/>
        <v>2.3860406752802465E-3</v>
      </c>
      <c r="K196" s="2"/>
      <c r="L196" s="7">
        <f t="shared" si="117"/>
        <v>-885</v>
      </c>
      <c r="M196" s="2"/>
      <c r="N196" s="6">
        <f t="shared" si="118"/>
        <v>-1</v>
      </c>
      <c r="O196" s="11"/>
      <c r="P196" s="7">
        <v>295</v>
      </c>
      <c r="Q196" s="2"/>
      <c r="R196" s="6">
        <f t="shared" si="119"/>
        <v>1.260401866958516E-4</v>
      </c>
      <c r="S196" s="2"/>
      <c r="T196" s="7">
        <v>1180</v>
      </c>
      <c r="U196" s="2"/>
      <c r="V196" s="6">
        <f t="shared" si="120"/>
        <v>5.372213101853474E-4</v>
      </c>
      <c r="W196" s="2"/>
      <c r="X196" s="7">
        <f t="shared" si="121"/>
        <v>-885</v>
      </c>
      <c r="Y196" s="2"/>
      <c r="Z196" s="6">
        <f t="shared" si="122"/>
        <v>-0.75</v>
      </c>
    </row>
    <row r="197" spans="1:26" s="24" customFormat="1" hidden="1" outlineLevel="2" x14ac:dyDescent="0.25">
      <c r="A197" s="28"/>
      <c r="B197" s="11" t="str">
        <f>CONCATENATE("          ", "6309", " - ", "TELEPHONE")</f>
        <v xml:space="preserve">          6309 - TELEPHONE</v>
      </c>
      <c r="C197" s="11"/>
      <c r="D197" s="7">
        <v>1901.69</v>
      </c>
      <c r="E197" s="2"/>
      <c r="F197" s="6">
        <f t="shared" si="115"/>
        <v>3.1664986972112976E-3</v>
      </c>
      <c r="G197" s="2"/>
      <c r="H197" s="7">
        <v>4504.41</v>
      </c>
      <c r="I197" s="2"/>
      <c r="J197" s="6">
        <f t="shared" si="116"/>
        <v>1.2144299975298412E-2</v>
      </c>
      <c r="K197" s="2"/>
      <c r="L197" s="7">
        <f t="shared" si="117"/>
        <v>-2602.7199999999998</v>
      </c>
      <c r="M197" s="2"/>
      <c r="N197" s="6">
        <f t="shared" si="118"/>
        <v>-0.57781596257889489</v>
      </c>
      <c r="O197" s="11"/>
      <c r="P197" s="7">
        <v>5568.32</v>
      </c>
      <c r="Q197" s="2"/>
      <c r="R197" s="6">
        <f t="shared" si="119"/>
        <v>2.3790918385838793E-3</v>
      </c>
      <c r="S197" s="2"/>
      <c r="T197" s="7">
        <v>9457.0300000000007</v>
      </c>
      <c r="U197" s="2"/>
      <c r="V197" s="6">
        <f t="shared" si="120"/>
        <v>4.3055237686967264E-3</v>
      </c>
      <c r="W197" s="2"/>
      <c r="X197" s="7">
        <f t="shared" si="121"/>
        <v>-3888.7100000000009</v>
      </c>
      <c r="Y197" s="2"/>
      <c r="Z197" s="6">
        <f t="shared" si="122"/>
        <v>-0.41119780734543515</v>
      </c>
    </row>
    <row r="198" spans="1:26" s="27" customFormat="1" outlineLevel="1" collapsed="1" x14ac:dyDescent="0.25">
      <c r="A198" s="29"/>
      <c r="B198" s="14" t="str">
        <f>CONCATENATE("     ","Training                                          ")</f>
        <v xml:space="preserve">     Training                                          </v>
      </c>
      <c r="C198" s="14"/>
      <c r="D198" s="1">
        <f>SUM(OSRRefD22_21x_0)</f>
        <v>595</v>
      </c>
      <c r="E198" s="1"/>
      <c r="F198" s="5">
        <f t="shared" ref="F198:F203" si="123">IF(D$12=0,0,D198/D$12)</f>
        <v>9.9073283492089785E-4</v>
      </c>
      <c r="G198" s="1"/>
      <c r="H198" s="1">
        <f>SUM(OSRRefH22_21x_0)</f>
        <v>0</v>
      </c>
      <c r="I198" s="1"/>
      <c r="J198" s="5">
        <f t="shared" ref="J198:J203" si="124">IF(H$12=0,0,H198/H$12)</f>
        <v>0</v>
      </c>
      <c r="K198" s="1"/>
      <c r="L198" s="1">
        <f t="shared" ref="L198:L203" si="125">+D198-H198</f>
        <v>595</v>
      </c>
      <c r="M198" s="1"/>
      <c r="N198" s="5">
        <f t="shared" ref="N198:N203" si="126">IF(H198=0,0,L198/H198)</f>
        <v>0</v>
      </c>
      <c r="O198" s="14"/>
      <c r="P198" s="1">
        <f>SUM(OSRRefP22_21x_0)</f>
        <v>595</v>
      </c>
      <c r="Q198" s="1"/>
      <c r="R198" s="5">
        <f t="shared" ref="R198:R203" si="127">IF(P$12=0,0,P198/P$12)</f>
        <v>2.5421664774248035E-4</v>
      </c>
      <c r="S198" s="1"/>
      <c r="T198" s="1">
        <f>SUM(OSRRefT22_21x_0)</f>
        <v>131.63</v>
      </c>
      <c r="U198" s="1"/>
      <c r="V198" s="5">
        <f t="shared" ref="V198:V203" si="128">IF(T$12=0,0,T198/T$12)</f>
        <v>5.9927492423472275E-5</v>
      </c>
      <c r="W198" s="1"/>
      <c r="X198" s="1">
        <f t="shared" ref="X198:X203" si="129">+P198-T198</f>
        <v>463.37</v>
      </c>
      <c r="Y198" s="1"/>
      <c r="Z198" s="5">
        <f t="shared" ref="Z198:Z203" si="130">IF(T198=0,0,X198/T198)</f>
        <v>3.5202461444959359</v>
      </c>
    </row>
    <row r="199" spans="1:26" s="24" customFormat="1" hidden="1" outlineLevel="2" x14ac:dyDescent="0.25">
      <c r="A199" s="28"/>
      <c r="B199" s="11" t="str">
        <f>CONCATENATE("          ", "6376", " - ", "TRAINING")</f>
        <v xml:space="preserve">          6376 - TRAINING</v>
      </c>
      <c r="C199" s="11"/>
      <c r="D199" s="7">
        <v>595</v>
      </c>
      <c r="E199" s="2"/>
      <c r="F199" s="6">
        <f t="shared" si="123"/>
        <v>9.9073283492089785E-4</v>
      </c>
      <c r="G199" s="2"/>
      <c r="H199" s="7"/>
      <c r="I199" s="2"/>
      <c r="J199" s="6">
        <f t="shared" si="124"/>
        <v>0</v>
      </c>
      <c r="K199" s="2"/>
      <c r="L199" s="7">
        <f t="shared" si="125"/>
        <v>595</v>
      </c>
      <c r="M199" s="2"/>
      <c r="N199" s="6">
        <f t="shared" si="126"/>
        <v>0</v>
      </c>
      <c r="O199" s="11"/>
      <c r="P199" s="7">
        <v>595</v>
      </c>
      <c r="Q199" s="2"/>
      <c r="R199" s="6">
        <f t="shared" si="127"/>
        <v>2.5421664774248035E-4</v>
      </c>
      <c r="S199" s="2"/>
      <c r="T199" s="7">
        <v>131.63</v>
      </c>
      <c r="U199" s="2"/>
      <c r="V199" s="6">
        <f t="shared" si="128"/>
        <v>5.9927492423472275E-5</v>
      </c>
      <c r="W199" s="2"/>
      <c r="X199" s="7">
        <f t="shared" si="129"/>
        <v>463.37</v>
      </c>
      <c r="Y199" s="2"/>
      <c r="Z199" s="6">
        <f t="shared" si="130"/>
        <v>3.5202461444959359</v>
      </c>
    </row>
    <row r="200" spans="1:26" s="27" customFormat="1" outlineLevel="1" collapsed="1" x14ac:dyDescent="0.25">
      <c r="A200" s="29"/>
      <c r="B200" s="14" t="str">
        <f>CONCATENATE("     ","Travel                                            ")</f>
        <v xml:space="preserve">     Travel                                            </v>
      </c>
      <c r="C200" s="14"/>
      <c r="D200" s="1">
        <f>SUM(OSRRefD22_22x_0)</f>
        <v>27.39</v>
      </c>
      <c r="E200" s="1"/>
      <c r="F200" s="5">
        <f t="shared" si="123"/>
        <v>4.5607012350392253E-5</v>
      </c>
      <c r="G200" s="1"/>
      <c r="H200" s="1">
        <f>SUM(OSRRefH22_22x_0)</f>
        <v>0</v>
      </c>
      <c r="I200" s="1"/>
      <c r="J200" s="5">
        <f t="shared" si="124"/>
        <v>0</v>
      </c>
      <c r="K200" s="1"/>
      <c r="L200" s="1">
        <f t="shared" si="125"/>
        <v>27.39</v>
      </c>
      <c r="M200" s="1"/>
      <c r="N200" s="5">
        <f t="shared" si="126"/>
        <v>0</v>
      </c>
      <c r="O200" s="14"/>
      <c r="P200" s="1">
        <f>SUM(OSRRefP22_22x_0)</f>
        <v>710.53</v>
      </c>
      <c r="Q200" s="1"/>
      <c r="R200" s="5">
        <f t="shared" si="127"/>
        <v>3.0357740289153711E-4</v>
      </c>
      <c r="S200" s="1"/>
      <c r="T200" s="1">
        <f>SUM(OSRRefT22_22x_0)</f>
        <v>300.96999999999997</v>
      </c>
      <c r="U200" s="1"/>
      <c r="V200" s="5">
        <f t="shared" si="128"/>
        <v>1.3702330315803728E-4</v>
      </c>
      <c r="W200" s="1"/>
      <c r="X200" s="1">
        <f t="shared" si="129"/>
        <v>409.56</v>
      </c>
      <c r="Y200" s="1"/>
      <c r="Z200" s="5">
        <f t="shared" si="130"/>
        <v>1.3608000797421671</v>
      </c>
    </row>
    <row r="201" spans="1:26" s="24" customFormat="1" hidden="1" outlineLevel="2" x14ac:dyDescent="0.25">
      <c r="A201" s="28"/>
      <c r="B201" s="11" t="str">
        <f>CONCATENATE("          ", "6292", " - ", "TRAVEL/CONFERENCE")</f>
        <v xml:space="preserve">          6292 - TRAVEL/CONFERENCE</v>
      </c>
      <c r="C201" s="11"/>
      <c r="D201" s="7"/>
      <c r="E201" s="2"/>
      <c r="F201" s="6">
        <f t="shared" si="123"/>
        <v>0</v>
      </c>
      <c r="G201" s="2"/>
      <c r="H201" s="7"/>
      <c r="I201" s="2"/>
      <c r="J201" s="6">
        <f t="shared" si="124"/>
        <v>0</v>
      </c>
      <c r="K201" s="2"/>
      <c r="L201" s="7">
        <f t="shared" si="125"/>
        <v>0</v>
      </c>
      <c r="M201" s="2"/>
      <c r="N201" s="6">
        <f t="shared" si="126"/>
        <v>0</v>
      </c>
      <c r="O201" s="11"/>
      <c r="P201" s="7">
        <v>495</v>
      </c>
      <c r="Q201" s="2"/>
      <c r="R201" s="6">
        <f t="shared" si="127"/>
        <v>2.1149116072693744E-4</v>
      </c>
      <c r="S201" s="2"/>
      <c r="T201" s="7">
        <v>0.16</v>
      </c>
      <c r="U201" s="2"/>
      <c r="V201" s="6">
        <f t="shared" si="128"/>
        <v>7.2843567482758982E-8</v>
      </c>
      <c r="W201" s="2"/>
      <c r="X201" s="7">
        <f t="shared" si="129"/>
        <v>494.84</v>
      </c>
      <c r="Y201" s="2"/>
      <c r="Z201" s="6">
        <f t="shared" si="130"/>
        <v>3092.75</v>
      </c>
    </row>
    <row r="202" spans="1:26" s="24" customFormat="1" hidden="1" outlineLevel="2" x14ac:dyDescent="0.25">
      <c r="A202" s="28"/>
      <c r="B202" s="11" t="str">
        <f>CONCATENATE("          ", "6294", " - ", "TRAVEL OPERATIONAL")</f>
        <v xml:space="preserve">          6294 - TRAVEL OPERATIONAL</v>
      </c>
      <c r="C202" s="11"/>
      <c r="D202" s="7">
        <v>27.39</v>
      </c>
      <c r="E202" s="2"/>
      <c r="F202" s="6">
        <f t="shared" si="123"/>
        <v>4.5607012350392253E-5</v>
      </c>
      <c r="G202" s="2"/>
      <c r="H202" s="7"/>
      <c r="I202" s="2"/>
      <c r="J202" s="6">
        <f t="shared" si="124"/>
        <v>0</v>
      </c>
      <c r="K202" s="2"/>
      <c r="L202" s="7">
        <f t="shared" si="125"/>
        <v>27.39</v>
      </c>
      <c r="M202" s="2"/>
      <c r="N202" s="6">
        <f t="shared" si="126"/>
        <v>0</v>
      </c>
      <c r="O202" s="11"/>
      <c r="P202" s="7">
        <v>215.53</v>
      </c>
      <c r="Q202" s="2"/>
      <c r="R202" s="6">
        <f t="shared" si="127"/>
        <v>9.2086242164599651E-5</v>
      </c>
      <c r="S202" s="2"/>
      <c r="T202" s="7">
        <v>240.92</v>
      </c>
      <c r="U202" s="2"/>
      <c r="V202" s="6">
        <f t="shared" si="128"/>
        <v>1.0968420173716433E-4</v>
      </c>
      <c r="W202" s="2"/>
      <c r="X202" s="7">
        <f t="shared" si="129"/>
        <v>-25.389999999999986</v>
      </c>
      <c r="Y202" s="2"/>
      <c r="Z202" s="6">
        <f t="shared" si="130"/>
        <v>-0.10538768055786148</v>
      </c>
    </row>
    <row r="203" spans="1:26" s="24" customFormat="1" hidden="1" outlineLevel="2" x14ac:dyDescent="0.25">
      <c r="A203" s="28"/>
      <c r="B203" s="11" t="str">
        <f>CONCATENATE("          ", "6298", " - ", "VEHICLE MILEAGE")</f>
        <v xml:space="preserve">          6298 - VEHICLE MILEAGE</v>
      </c>
      <c r="C203" s="11"/>
      <c r="D203" s="7"/>
      <c r="E203" s="2"/>
      <c r="F203" s="6">
        <f t="shared" si="123"/>
        <v>0</v>
      </c>
      <c r="G203" s="2"/>
      <c r="H203" s="7"/>
      <c r="I203" s="2"/>
      <c r="J203" s="6">
        <f t="shared" si="124"/>
        <v>0</v>
      </c>
      <c r="K203" s="2"/>
      <c r="L203" s="7">
        <f t="shared" si="125"/>
        <v>0</v>
      </c>
      <c r="M203" s="2"/>
      <c r="N203" s="6">
        <f t="shared" si="126"/>
        <v>0</v>
      </c>
      <c r="O203" s="11"/>
      <c r="P203" s="7"/>
      <c r="Q203" s="2"/>
      <c r="R203" s="6">
        <f t="shared" si="127"/>
        <v>0</v>
      </c>
      <c r="S203" s="2"/>
      <c r="T203" s="7">
        <v>59.89</v>
      </c>
      <c r="U203" s="2"/>
      <c r="V203" s="6">
        <f t="shared" si="128"/>
        <v>2.726625785339022E-5</v>
      </c>
      <c r="W203" s="2"/>
      <c r="X203" s="7">
        <f t="shared" si="129"/>
        <v>-59.89</v>
      </c>
      <c r="Y203" s="2"/>
      <c r="Z203" s="6">
        <f t="shared" si="130"/>
        <v>-1</v>
      </c>
    </row>
    <row r="204" spans="1:26" s="27" customFormat="1" outlineLevel="1" collapsed="1" x14ac:dyDescent="0.25">
      <c r="A204" s="29"/>
      <c r="B204" s="14" t="str">
        <f>CONCATENATE("     ","Utilities                                         ")</f>
        <v xml:space="preserve">     Utilities                                         </v>
      </c>
      <c r="C204" s="14"/>
      <c r="D204" s="1">
        <f>SUM(OSRRefD22_23x_0)</f>
        <v>6137.6</v>
      </c>
      <c r="E204" s="1"/>
      <c r="F204" s="5">
        <f t="shared" ref="F204:F205" si="131">IF(D$12=0,0,D204/D$12)</f>
        <v>1.0219700584219333E-2</v>
      </c>
      <c r="G204" s="1"/>
      <c r="H204" s="1">
        <f>SUM(OSRRefH22_23x_0)</f>
        <v>6211.01</v>
      </c>
      <c r="I204" s="1"/>
      <c r="J204" s="5">
        <f t="shared" ref="J204:J205" si="132">IF(H$12=0,0,H204/H$12)</f>
        <v>1.674544914640945E-2</v>
      </c>
      <c r="K204" s="1"/>
      <c r="L204" s="1">
        <f t="shared" ref="L204:L205" si="133">+D204-H204</f>
        <v>-73.409999999999854</v>
      </c>
      <c r="M204" s="1"/>
      <c r="N204" s="5">
        <f t="shared" ref="N204:N205" si="134">IF(H204=0,0,L204/H204)</f>
        <v>-1.1819333731550884E-2</v>
      </c>
      <c r="O204" s="14"/>
      <c r="P204" s="1">
        <f>SUM(OSRRefP22_23x_0)</f>
        <v>18411.38</v>
      </c>
      <c r="Q204" s="1"/>
      <c r="R204" s="5">
        <f t="shared" ref="R204:R205" si="135">IF(P$12=0,0,P204/P$12)</f>
        <v>7.8663517712822661E-3</v>
      </c>
      <c r="S204" s="1"/>
      <c r="T204" s="1">
        <f>SUM(OSRRefT22_23x_0)</f>
        <v>18632.38</v>
      </c>
      <c r="U204" s="1"/>
      <c r="V204" s="5">
        <f t="shared" ref="V204:V205" si="136">IF(T$12=0,0,T204/T$12)</f>
        <v>8.4828064368400544E-3</v>
      </c>
      <c r="W204" s="1"/>
      <c r="X204" s="1">
        <f t="shared" ref="X204:X205" si="137">+P204-T204</f>
        <v>-221</v>
      </c>
      <c r="Y204" s="1"/>
      <c r="Z204" s="5">
        <f t="shared" ref="Z204:Z205" si="138">IF(T204=0,0,X204/T204)</f>
        <v>-1.1861071961821302E-2</v>
      </c>
    </row>
    <row r="205" spans="1:26" s="24" customFormat="1" hidden="1" outlineLevel="2" x14ac:dyDescent="0.25">
      <c r="A205" s="28"/>
      <c r="B205" s="11" t="str">
        <f>CONCATENATE("          ", "6274", " - ", "UTILITIES")</f>
        <v xml:space="preserve">          6274 - UTILITIES</v>
      </c>
      <c r="C205" s="11"/>
      <c r="D205" s="7">
        <v>6137.6</v>
      </c>
      <c r="E205" s="2"/>
      <c r="F205" s="6">
        <f t="shared" si="131"/>
        <v>1.0219700584219333E-2</v>
      </c>
      <c r="G205" s="2"/>
      <c r="H205" s="7">
        <v>6211.01</v>
      </c>
      <c r="I205" s="2"/>
      <c r="J205" s="6">
        <f t="shared" si="132"/>
        <v>1.674544914640945E-2</v>
      </c>
      <c r="K205" s="2"/>
      <c r="L205" s="7">
        <f t="shared" si="133"/>
        <v>-73.409999999999854</v>
      </c>
      <c r="M205" s="2"/>
      <c r="N205" s="6">
        <f t="shared" si="134"/>
        <v>-1.1819333731550884E-2</v>
      </c>
      <c r="O205" s="11"/>
      <c r="P205" s="7">
        <v>18411.38</v>
      </c>
      <c r="Q205" s="2"/>
      <c r="R205" s="6">
        <f t="shared" si="135"/>
        <v>7.8663517712822661E-3</v>
      </c>
      <c r="S205" s="2"/>
      <c r="T205" s="7">
        <v>18632.38</v>
      </c>
      <c r="U205" s="2"/>
      <c r="V205" s="6">
        <f t="shared" si="136"/>
        <v>8.4828064368400544E-3</v>
      </c>
      <c r="W205" s="2"/>
      <c r="X205" s="7">
        <f t="shared" si="137"/>
        <v>-221</v>
      </c>
      <c r="Y205" s="2"/>
      <c r="Z205" s="6">
        <f t="shared" si="138"/>
        <v>-1.1861071961821302E-2</v>
      </c>
    </row>
    <row r="206" spans="1:26" s="54" customFormat="1" x14ac:dyDescent="0.25">
      <c r="A206" s="37"/>
      <c r="B206" s="37"/>
      <c r="C206" s="37"/>
      <c r="D206" s="1"/>
      <c r="E206" s="1"/>
      <c r="F206" s="5"/>
      <c r="G206" s="1"/>
      <c r="H206" s="1"/>
      <c r="I206" s="1"/>
      <c r="J206" s="5"/>
      <c r="K206" s="1"/>
      <c r="L206" s="1"/>
      <c r="M206" s="1"/>
      <c r="N206" s="5"/>
      <c r="O206" s="37"/>
      <c r="P206" s="1"/>
      <c r="Q206" s="1"/>
      <c r="R206" s="5"/>
      <c r="S206" s="1"/>
      <c r="T206" s="1"/>
      <c r="U206" s="1"/>
      <c r="V206" s="5"/>
      <c r="W206" s="1"/>
      <c r="X206" s="1"/>
      <c r="Y206" s="1"/>
      <c r="Z206" s="5"/>
    </row>
    <row r="207" spans="1:26" s="23" customFormat="1" collapsed="1" x14ac:dyDescent="0.25">
      <c r="A207" s="10"/>
      <c r="B207" s="26" t="s">
        <v>292</v>
      </c>
      <c r="C207" s="10"/>
      <c r="D207" s="4">
        <f>SUM(OSRRefD25x_0)</f>
        <v>178854.33999999997</v>
      </c>
      <c r="E207" s="4"/>
      <c r="F207" s="12">
        <f t="shared" ref="F207:F211" si="139">IF(D$12=0,0,D207/D$12)</f>
        <v>0.29780986101866569</v>
      </c>
      <c r="G207" s="4"/>
      <c r="H207" s="4">
        <f>SUM(OSRRefH25x_0)</f>
        <v>166664.99</v>
      </c>
      <c r="I207" s="4"/>
      <c r="J207" s="12">
        <f t="shared" ref="J207:J211" si="140">IF(H$12=0,0,H207/H$12)</f>
        <v>0.44934400597194968</v>
      </c>
      <c r="K207" s="4"/>
      <c r="L207" s="4">
        <f t="shared" ref="L207:L211" si="141">+D207-H207</f>
        <v>12189.349999999977</v>
      </c>
      <c r="M207" s="4"/>
      <c r="N207" s="12">
        <f t="shared" ref="N207:N211" si="142">IF(H207=0,0,L207/H207)</f>
        <v>7.313683575656757E-2</v>
      </c>
      <c r="O207" s="10"/>
      <c r="P207" s="4">
        <f>SUM(OSRRefP25x_0)</f>
        <v>362851.27999999997</v>
      </c>
      <c r="Q207" s="4"/>
      <c r="R207" s="12">
        <f t="shared" ref="R207:R211" si="143">IF(P$12=0,0,P207/P$12)</f>
        <v>0.15502997652213127</v>
      </c>
      <c r="S207" s="4"/>
      <c r="T207" s="4">
        <f>SUM(OSRRefT25x_0)</f>
        <v>421405.64</v>
      </c>
      <c r="U207" s="4"/>
      <c r="V207" s="12">
        <f t="shared" ref="V207:V211" si="144">IF(T$12=0,0,T207/T$12)</f>
        <v>0.19185431359347022</v>
      </c>
      <c r="W207" s="4"/>
      <c r="X207" s="4">
        <f t="shared" ref="X207:X211" si="145">+P207-T207</f>
        <v>-58554.360000000044</v>
      </c>
      <c r="Y207" s="4"/>
      <c r="Z207" s="12">
        <f t="shared" ref="Z207:Z211" si="146">IF(T207=0,0,X207/T207)</f>
        <v>-0.13895010992259155</v>
      </c>
    </row>
    <row r="208" spans="1:26" s="24" customFormat="1" hidden="1" outlineLevel="1" x14ac:dyDescent="0.25">
      <c r="A208" s="44"/>
      <c r="B208" s="11" t="str">
        <f>CONCATENATE("          ", "9150", " - ", "MISC. INCOME")</f>
        <v xml:space="preserve">          9150 - MISC. INCOME</v>
      </c>
      <c r="C208" s="11"/>
      <c r="D208" s="2">
        <f>--21320.96</f>
        <v>21320.959999999999</v>
      </c>
      <c r="E208" s="2"/>
      <c r="F208" s="19">
        <f t="shared" si="139"/>
        <v>3.5501470830311035E-2</v>
      </c>
      <c r="G208" s="2"/>
      <c r="H208" s="2">
        <f>--18837.05</f>
        <v>18837.05</v>
      </c>
      <c r="I208" s="2"/>
      <c r="J208" s="19">
        <f t="shared" si="140"/>
        <v>5.0786403957387302E-2</v>
      </c>
      <c r="K208" s="2"/>
      <c r="L208" s="2">
        <f t="shared" si="141"/>
        <v>2483.91</v>
      </c>
      <c r="M208" s="2"/>
      <c r="N208" s="19">
        <f t="shared" si="142"/>
        <v>0.13186300402663897</v>
      </c>
      <c r="O208" s="11"/>
      <c r="P208" s="2">
        <f>--129438.57</f>
        <v>129438.57</v>
      </c>
      <c r="Q208" s="2"/>
      <c r="R208" s="19">
        <f t="shared" si="143"/>
        <v>5.5303259418454438E-2</v>
      </c>
      <c r="S208" s="2"/>
      <c r="T208" s="2">
        <f>--111367.41</f>
        <v>111367.41</v>
      </c>
      <c r="U208" s="2"/>
      <c r="V208" s="19">
        <f t="shared" si="144"/>
        <v>5.0702496535719295E-2</v>
      </c>
      <c r="W208" s="2"/>
      <c r="X208" s="2">
        <f t="shared" si="145"/>
        <v>18071.160000000003</v>
      </c>
      <c r="Y208" s="2"/>
      <c r="Z208" s="19">
        <f t="shared" si="146"/>
        <v>0.16226614231218991</v>
      </c>
    </row>
    <row r="209" spans="1:26" s="24" customFormat="1" hidden="1" outlineLevel="1" x14ac:dyDescent="0.25">
      <c r="A209" s="44"/>
      <c r="B209" s="11" t="str">
        <f>CONCATENATE("          ", "9151", " - ", "MISC. INCOME")</f>
        <v xml:space="preserve">          9151 - MISC. INCOME</v>
      </c>
      <c r="C209" s="11"/>
      <c r="D209" s="2">
        <f>--156907</f>
        <v>156907</v>
      </c>
      <c r="E209" s="2"/>
      <c r="F209" s="19">
        <f t="shared" si="139"/>
        <v>0.26126540660324926</v>
      </c>
      <c r="G209" s="2"/>
      <c r="H209" s="2">
        <f>--147285.39</f>
        <v>147285.39000000001</v>
      </c>
      <c r="I209" s="2"/>
      <c r="J209" s="19">
        <f t="shared" si="140"/>
        <v>0.39709483775651355</v>
      </c>
      <c r="K209" s="2"/>
      <c r="L209" s="2">
        <f t="shared" si="141"/>
        <v>9621.609999999986</v>
      </c>
      <c r="M209" s="2"/>
      <c r="N209" s="19">
        <f t="shared" si="142"/>
        <v>6.5326302900783201E-2</v>
      </c>
      <c r="O209" s="11"/>
      <c r="P209" s="2">
        <f>--168463.36</f>
        <v>168463.35999999999</v>
      </c>
      <c r="Q209" s="2"/>
      <c r="R209" s="19">
        <f t="shared" si="143"/>
        <v>7.1976791002747315E-2</v>
      </c>
      <c r="S209" s="2"/>
      <c r="T209" s="2">
        <f>--147285.39</f>
        <v>147285.39000000001</v>
      </c>
      <c r="U209" s="2"/>
      <c r="V209" s="19">
        <f t="shared" si="144"/>
        <v>6.7054957785559213E-2</v>
      </c>
      <c r="W209" s="2"/>
      <c r="X209" s="2">
        <f t="shared" si="145"/>
        <v>21177.969999999972</v>
      </c>
      <c r="Y209" s="2"/>
      <c r="Z209" s="19">
        <f t="shared" si="146"/>
        <v>0.14378866770152809</v>
      </c>
    </row>
    <row r="210" spans="1:26" s="24" customFormat="1" hidden="1" outlineLevel="1" x14ac:dyDescent="0.25">
      <c r="A210" s="44"/>
      <c r="B210" s="11" t="str">
        <f>CONCATENATE("          ", "9152", " - ", "MISC. INCOME")</f>
        <v xml:space="preserve">          9152 - MISC. INCOME</v>
      </c>
      <c r="C210" s="11"/>
      <c r="D210" s="2">
        <f>--935.08</f>
        <v>935.08</v>
      </c>
      <c r="E210" s="2"/>
      <c r="F210" s="19">
        <f t="shared" si="139"/>
        <v>1.5569990912232491E-3</v>
      </c>
      <c r="G210" s="2"/>
      <c r="H210" s="2">
        <f>--542.55</f>
        <v>542.54999999999995</v>
      </c>
      <c r="I210" s="2"/>
      <c r="J210" s="19">
        <f t="shared" si="140"/>
        <v>1.4627642580489239E-3</v>
      </c>
      <c r="K210" s="2"/>
      <c r="L210" s="2">
        <f t="shared" si="141"/>
        <v>392.53000000000009</v>
      </c>
      <c r="M210" s="2"/>
      <c r="N210" s="19">
        <f t="shared" si="142"/>
        <v>0.72349092249562275</v>
      </c>
      <c r="O210" s="11"/>
      <c r="P210" s="2">
        <f>--1938.11</f>
        <v>1938.11</v>
      </c>
      <c r="Q210" s="2"/>
      <c r="R210" s="19">
        <f t="shared" si="143"/>
        <v>8.2806693639693885E-4</v>
      </c>
      <c r="S210" s="2"/>
      <c r="T210" s="2">
        <f>--2088.94</f>
        <v>2088.94</v>
      </c>
      <c r="U210" s="2"/>
      <c r="V210" s="19">
        <f t="shared" si="144"/>
        <v>9.5103651160896585E-4</v>
      </c>
      <c r="W210" s="2"/>
      <c r="X210" s="2">
        <f t="shared" si="145"/>
        <v>-150.83000000000015</v>
      </c>
      <c r="Y210" s="2"/>
      <c r="Z210" s="19">
        <f t="shared" si="146"/>
        <v>-7.2204084368148513E-2</v>
      </c>
    </row>
    <row r="211" spans="1:26" s="24" customFormat="1" hidden="1" outlineLevel="1" x14ac:dyDescent="0.25">
      <c r="A211" s="44"/>
      <c r="B211" s="11" t="str">
        <f>CONCATENATE("          ", "9163", " - ", "MISC. INCOME")</f>
        <v xml:space="preserve">          9163 - MISC. INCOME</v>
      </c>
      <c r="C211" s="11"/>
      <c r="D211" s="2">
        <f>-308.7</f>
        <v>-308.7</v>
      </c>
      <c r="E211" s="2"/>
      <c r="F211" s="19">
        <f t="shared" si="139"/>
        <v>-5.1401550611778347E-4</v>
      </c>
      <c r="G211" s="2"/>
      <c r="H211" s="2">
        <f>0</f>
        <v>0</v>
      </c>
      <c r="I211" s="2"/>
      <c r="J211" s="19">
        <f t="shared" si="140"/>
        <v>0</v>
      </c>
      <c r="K211" s="2"/>
      <c r="L211" s="2">
        <f t="shared" si="141"/>
        <v>-308.7</v>
      </c>
      <c r="M211" s="2"/>
      <c r="N211" s="19">
        <f t="shared" si="142"/>
        <v>0</v>
      </c>
      <c r="O211" s="11"/>
      <c r="P211" s="2">
        <f>--63011.24</f>
        <v>63011.24</v>
      </c>
      <c r="Q211" s="2"/>
      <c r="R211" s="19">
        <f t="shared" si="143"/>
        <v>2.6921859164532585E-2</v>
      </c>
      <c r="S211" s="2"/>
      <c r="T211" s="2">
        <f>--160663.9</f>
        <v>160663.9</v>
      </c>
      <c r="U211" s="2"/>
      <c r="V211" s="19">
        <f t="shared" si="144"/>
        <v>7.3145822760582749E-2</v>
      </c>
      <c r="W211" s="2"/>
      <c r="X211" s="2">
        <f t="shared" si="145"/>
        <v>-97652.66</v>
      </c>
      <c r="Y211" s="2"/>
      <c r="Z211" s="19">
        <f t="shared" si="146"/>
        <v>-0.60780710539206384</v>
      </c>
    </row>
    <row r="212" spans="1:26" x14ac:dyDescent="0.25">
      <c r="A212" s="9"/>
      <c r="B212" s="10"/>
      <c r="C212" s="10"/>
      <c r="D212" s="3"/>
      <c r="E212" s="3"/>
      <c r="F212" s="8"/>
      <c r="G212" s="3"/>
      <c r="H212" s="3"/>
      <c r="I212" s="3"/>
      <c r="J212" s="8"/>
      <c r="K212" s="3"/>
      <c r="L212" s="3"/>
      <c r="M212" s="3"/>
      <c r="N212" s="8"/>
      <c r="O212" s="10"/>
      <c r="P212" s="3"/>
      <c r="Q212" s="3"/>
      <c r="R212" s="8"/>
      <c r="S212" s="3"/>
      <c r="T212" s="3"/>
      <c r="U212" s="3"/>
      <c r="V212" s="8"/>
      <c r="W212" s="3"/>
      <c r="X212" s="3"/>
      <c r="Y212" s="3"/>
      <c r="Z212" s="8"/>
    </row>
    <row r="213" spans="1:26" s="23" customFormat="1" x14ac:dyDescent="0.25">
      <c r="A213" s="10"/>
      <c r="B213" s="25" t="s">
        <v>276</v>
      </c>
      <c r="C213" s="25"/>
      <c r="D213" s="21">
        <f>+D117-D119+D207</f>
        <v>75802.290000000328</v>
      </c>
      <c r="E213" s="13"/>
      <c r="F213" s="22">
        <f>IF(D$12=0,0,D213/D$12)</f>
        <v>0.12621818094990983</v>
      </c>
      <c r="G213" s="13"/>
      <c r="H213" s="21">
        <f>+H117-H119+H207</f>
        <v>14391.639999999985</v>
      </c>
      <c r="I213" s="13"/>
      <c r="J213" s="22">
        <f>IF(H$12=0,0,H213/H$12)</f>
        <v>3.8801173360440866E-2</v>
      </c>
      <c r="K213" s="16"/>
      <c r="L213" s="21">
        <f>+D213-H213</f>
        <v>61410.650000000343</v>
      </c>
      <c r="M213" s="16"/>
      <c r="N213" s="22">
        <f>IF(H213=0,0,L213/H213)</f>
        <v>4.2671057641797887</v>
      </c>
      <c r="O213" s="26"/>
      <c r="P213" s="21">
        <f>+P117-P119+P207</f>
        <v>133346.9199999994</v>
      </c>
      <c r="Q213" s="13"/>
      <c r="R213" s="22">
        <f>IF(P$12=0,0,P213/P$12)</f>
        <v>5.6973120990226146E-2</v>
      </c>
      <c r="S213" s="13"/>
      <c r="T213" s="21">
        <f>+T117-T119+T207</f>
        <v>266421.51999999944</v>
      </c>
      <c r="U213" s="13"/>
      <c r="V213" s="22">
        <f>IF(T$12=0,0,T213/T$12)</f>
        <v>0.12129433731861987</v>
      </c>
      <c r="W213" s="16"/>
      <c r="X213" s="21">
        <f>+P213-T213</f>
        <v>-133074.60000000003</v>
      </c>
      <c r="Y213" s="16"/>
      <c r="Z213" s="22">
        <f>IF(T213=0,0,X213/T213)</f>
        <v>-0.4994889301735097</v>
      </c>
    </row>
    <row r="214" spans="1:26" x14ac:dyDescent="0.25">
      <c r="A214" s="9"/>
      <c r="B214" s="10"/>
      <c r="C214" s="9"/>
      <c r="D214" s="3"/>
      <c r="E214" s="3"/>
      <c r="F214" s="8"/>
      <c r="G214" s="3"/>
      <c r="H214" s="3"/>
      <c r="I214" s="3"/>
      <c r="J214" s="8"/>
      <c r="K214" s="3"/>
      <c r="L214" s="3"/>
      <c r="M214" s="3"/>
      <c r="N214" s="8"/>
      <c r="P214" s="3"/>
      <c r="Q214" s="3"/>
      <c r="R214" s="8"/>
      <c r="S214" s="3"/>
      <c r="T214" s="3"/>
      <c r="U214" s="3"/>
      <c r="V214" s="8"/>
      <c r="W214" s="3"/>
      <c r="X214" s="3"/>
      <c r="Y214" s="3"/>
      <c r="Z214" s="8"/>
    </row>
    <row r="215" spans="1:26" s="23" customFormat="1" x14ac:dyDescent="0.25">
      <c r="A215" s="51"/>
      <c r="B215" s="10" t="s">
        <v>127</v>
      </c>
      <c r="C215" s="10"/>
      <c r="D215" s="4">
        <v>29692.560000000001</v>
      </c>
      <c r="E215" s="4"/>
      <c r="F215" s="12">
        <f>IF(D$12=0,0,D215/D$12)</f>
        <v>4.944099856278799E-2</v>
      </c>
      <c r="G215" s="4"/>
      <c r="H215" s="4">
        <v>98685.32</v>
      </c>
      <c r="I215" s="4"/>
      <c r="J215" s="12">
        <f>IF(H$12=0,0,H215/H$12)</f>
        <v>0.26606461872660703</v>
      </c>
      <c r="K215" s="4"/>
      <c r="L215" s="4">
        <f>+D215-H215</f>
        <v>-68992.760000000009</v>
      </c>
      <c r="M215" s="4"/>
      <c r="N215" s="12">
        <f>IF(H215=0,0,L215/H215)</f>
        <v>-0.69911877470732231</v>
      </c>
      <c r="O215" s="10"/>
      <c r="P215" s="4">
        <v>289699.75</v>
      </c>
      <c r="Q215" s="4"/>
      <c r="R215" s="12">
        <f>IF(P$12=0,0,P215/P$12)</f>
        <v>0.1237756290703103</v>
      </c>
      <c r="S215" s="4"/>
      <c r="T215" s="4">
        <v>406910.31</v>
      </c>
      <c r="U215" s="4"/>
      <c r="V215" s="12">
        <f>IF(T$12=0,0,T215/T$12)</f>
        <v>0.1852549914119711</v>
      </c>
      <c r="W215" s="4"/>
      <c r="X215" s="4">
        <f>+P215-T215</f>
        <v>-117210.56</v>
      </c>
      <c r="Y215" s="4"/>
      <c r="Z215" s="12">
        <f>IF(T215=0,0,X215/T215)</f>
        <v>-0.28805011109204876</v>
      </c>
    </row>
    <row r="216" spans="1:26" x14ac:dyDescent="0.25">
      <c r="A216" s="9"/>
      <c r="B216" s="10"/>
      <c r="C216" s="10"/>
      <c r="D216" s="3"/>
      <c r="E216" s="3"/>
      <c r="F216" s="8"/>
      <c r="G216" s="3"/>
      <c r="H216" s="3"/>
      <c r="I216" s="3"/>
      <c r="J216" s="8"/>
      <c r="K216" s="3"/>
      <c r="L216" s="3"/>
      <c r="M216" s="3"/>
      <c r="N216" s="8"/>
      <c r="O216" s="10"/>
      <c r="P216" s="3"/>
      <c r="Q216" s="3"/>
      <c r="R216" s="8"/>
      <c r="S216" s="3"/>
      <c r="T216" s="3"/>
      <c r="U216" s="3"/>
      <c r="V216" s="8"/>
      <c r="W216" s="3"/>
      <c r="X216" s="3"/>
      <c r="Y216" s="3"/>
      <c r="Z216" s="8"/>
    </row>
    <row r="217" spans="1:26" s="23" customFormat="1" ht="15.75" thickBot="1" x14ac:dyDescent="0.3">
      <c r="A217" s="10"/>
      <c r="B217" s="25" t="s">
        <v>125</v>
      </c>
      <c r="C217" s="25"/>
      <c r="D217" s="33">
        <f>+D213-D215</f>
        <v>46109.730000000331</v>
      </c>
      <c r="E217" s="13"/>
      <c r="F217" s="35">
        <f>IF(D$12=0,0,D217/D$12)</f>
        <v>7.6777182387121848E-2</v>
      </c>
      <c r="G217" s="13"/>
      <c r="H217" s="33">
        <f>+H213-H215</f>
        <v>-84293.680000000022</v>
      </c>
      <c r="I217" s="13"/>
      <c r="J217" s="35">
        <f>IF(H$12=0,0,H217/H$12)</f>
        <v>-0.22726344536616616</v>
      </c>
      <c r="K217" s="16"/>
      <c r="L217" s="33">
        <f>D217-H217</f>
        <v>130403.41000000035</v>
      </c>
      <c r="M217" s="16"/>
      <c r="N217" s="35">
        <f>IF(H217=0,0,L217/H217)</f>
        <v>-1.547012895865981</v>
      </c>
      <c r="O217" s="26"/>
      <c r="P217" s="33">
        <f>+P213-P215</f>
        <v>-156352.8300000006</v>
      </c>
      <c r="Q217" s="13"/>
      <c r="R217" s="35">
        <f>IF(P$12=0,0,P217/P$12)</f>
        <v>-6.6802508080084144E-2</v>
      </c>
      <c r="S217" s="13"/>
      <c r="T217" s="33">
        <f>+T213-T215</f>
        <v>-140488.79000000056</v>
      </c>
      <c r="U217" s="13"/>
      <c r="V217" s="35">
        <f>IF(T$12=0,0,T217/T$12)</f>
        <v>-6.3960654093351221E-2</v>
      </c>
      <c r="W217" s="16"/>
      <c r="X217" s="33">
        <f>P217-T217</f>
        <v>-15864.040000000037</v>
      </c>
      <c r="Y217" s="16"/>
      <c r="Z217" s="35">
        <f>IF(T217=0,0,X217/T217)</f>
        <v>0.11292032624097605</v>
      </c>
    </row>
    <row r="218" spans="1:26" ht="15.75" thickTop="1" x14ac:dyDescent="0.25">
      <c r="A218" s="9"/>
      <c r="B218" s="9"/>
      <c r="C218" s="9"/>
      <c r="D218" s="3"/>
      <c r="E218" s="3"/>
      <c r="F218" s="8"/>
      <c r="G218" s="3"/>
      <c r="H218" s="3"/>
      <c r="I218" s="3"/>
      <c r="J218" s="8"/>
      <c r="K218" s="3"/>
      <c r="L218" s="3"/>
      <c r="M218" s="3"/>
      <c r="N218" s="8"/>
      <c r="P218" s="3"/>
      <c r="Q218" s="3"/>
      <c r="R218" s="8"/>
      <c r="S218" s="3"/>
      <c r="T218" s="3"/>
      <c r="U218" s="3"/>
      <c r="V218" s="8"/>
      <c r="W218" s="3"/>
      <c r="X218" s="3"/>
      <c r="Y218" s="3"/>
      <c r="Z218" s="8"/>
    </row>
    <row r="219" spans="1:26" x14ac:dyDescent="0.25">
      <c r="A219" s="9"/>
      <c r="B219" s="9"/>
      <c r="C219" s="9"/>
      <c r="D219" s="3"/>
      <c r="E219" s="3"/>
      <c r="F219" s="8"/>
      <c r="G219" s="3"/>
      <c r="H219" s="3"/>
      <c r="I219" s="3"/>
      <c r="J219" s="8"/>
      <c r="K219" s="3"/>
      <c r="L219" s="3"/>
      <c r="M219" s="3"/>
      <c r="N219" s="8"/>
      <c r="P219" s="3"/>
      <c r="Q219" s="3"/>
      <c r="R219" s="8"/>
      <c r="S219" s="3"/>
      <c r="T219" s="3"/>
      <c r="U219" s="3"/>
      <c r="V219" s="8"/>
      <c r="W219" s="3"/>
      <c r="X219" s="3"/>
      <c r="Y219" s="3"/>
      <c r="Z219" s="8"/>
    </row>
    <row r="220" spans="1:26" s="23" customFormat="1" ht="15.75" thickBot="1" x14ac:dyDescent="0.3">
      <c r="A220" s="10"/>
      <c r="B220" s="25" t="s">
        <v>293</v>
      </c>
      <c r="C220" s="25"/>
      <c r="D220" s="31">
        <f>SUM(D217:D219)</f>
        <v>46109.730000000331</v>
      </c>
      <c r="E220" s="13"/>
      <c r="F220" s="32">
        <f>IF(D$12=0,0,D220/D$12)</f>
        <v>7.6777182387121848E-2</v>
      </c>
      <c r="G220" s="13"/>
      <c r="H220" s="31">
        <f>SUM(H217:H219)</f>
        <v>-84293.680000000022</v>
      </c>
      <c r="I220" s="13"/>
      <c r="J220" s="32">
        <f>IF(H$12=0,0,H220/H$12)</f>
        <v>-0.22726344536616616</v>
      </c>
      <c r="K220" s="16"/>
      <c r="L220" s="31">
        <f>+D220-H220</f>
        <v>130403.41000000035</v>
      </c>
      <c r="M220" s="16"/>
      <c r="N220" s="32">
        <f>IF(H220=0,0,L220/H220)</f>
        <v>-1.547012895865981</v>
      </c>
      <c r="O220" s="26"/>
      <c r="P220" s="31">
        <f>SUM(P217:P219)</f>
        <v>-156352.8300000006</v>
      </c>
      <c r="Q220" s="13"/>
      <c r="R220" s="32">
        <f>IF(P$12=0,0,P220/P$12)</f>
        <v>-6.6802508080084144E-2</v>
      </c>
      <c r="S220" s="13"/>
      <c r="T220" s="31">
        <f>SUM(T217:T219)</f>
        <v>-140488.79000000056</v>
      </c>
      <c r="U220" s="13"/>
      <c r="V220" s="32">
        <f>IF(T$12=0,0,T220/T$12)</f>
        <v>-6.3960654093351221E-2</v>
      </c>
      <c r="W220" s="16"/>
      <c r="X220" s="31">
        <f>+P220-T220</f>
        <v>-15864.040000000037</v>
      </c>
      <c r="Y220" s="16"/>
      <c r="Z220" s="32">
        <f>IF(T220=0,0,X220/T220)</f>
        <v>0.11292032624097605</v>
      </c>
    </row>
    <row r="221" spans="1:26" ht="15.75" thickTop="1" x14ac:dyDescent="0.25">
      <c r="A221" s="9"/>
      <c r="C221" s="9"/>
      <c r="D221" s="18"/>
      <c r="E221" s="18"/>
      <c r="G221" s="18"/>
      <c r="H221" s="18"/>
      <c r="I221" s="18"/>
      <c r="J221" s="42"/>
      <c r="K221" s="18"/>
      <c r="L221" s="18"/>
      <c r="M221" s="18"/>
      <c r="P221" s="18"/>
      <c r="Q221" s="18"/>
      <c r="R221" s="42"/>
      <c r="S221" s="18"/>
      <c r="T221" s="18"/>
      <c r="U221" s="18"/>
      <c r="V221" s="42"/>
      <c r="W221" s="18"/>
      <c r="X221" s="18"/>
    </row>
    <row r="222" spans="1:26" x14ac:dyDescent="0.25">
      <c r="A222" s="9"/>
      <c r="B222" s="58">
        <v>44481.985627465278</v>
      </c>
      <c r="D222" s="18"/>
      <c r="E222" s="18"/>
      <c r="G222" s="18"/>
      <c r="H222" s="18"/>
      <c r="I222" s="18"/>
      <c r="J222" s="42"/>
      <c r="K222" s="18"/>
      <c r="L222" s="18"/>
      <c r="M222" s="18"/>
      <c r="P222" s="18"/>
      <c r="Q222" s="18"/>
      <c r="R222" s="42"/>
      <c r="S222" s="18"/>
      <c r="T222" s="18"/>
      <c r="U222" s="18"/>
      <c r="V222" s="42"/>
      <c r="W222" s="18"/>
      <c r="X222" s="18"/>
    </row>
    <row r="223" spans="1:26" x14ac:dyDescent="0.25">
      <c r="A223" s="9"/>
      <c r="B223" s="53" t="s">
        <v>56</v>
      </c>
      <c r="D223" s="18"/>
      <c r="E223" s="18"/>
      <c r="G223" s="18"/>
      <c r="H223" s="18"/>
      <c r="I223" s="18"/>
      <c r="J223" s="42"/>
      <c r="K223" s="18"/>
      <c r="L223" s="18"/>
      <c r="M223" s="18"/>
      <c r="P223" s="18"/>
      <c r="Q223" s="18"/>
      <c r="R223" s="42"/>
      <c r="S223" s="18"/>
      <c r="T223" s="18"/>
      <c r="U223" s="18"/>
      <c r="V223" s="42"/>
      <c r="W223" s="18"/>
      <c r="X223" s="18"/>
    </row>
    <row r="224" spans="1:26" x14ac:dyDescent="0.25">
      <c r="A224" s="9"/>
      <c r="B224" s="52"/>
      <c r="D224" s="18"/>
      <c r="E224" s="18"/>
      <c r="G224" s="18"/>
      <c r="H224" s="18"/>
      <c r="I224" s="18"/>
      <c r="J224" s="42"/>
      <c r="K224" s="18"/>
      <c r="L224" s="18"/>
      <c r="M224" s="18"/>
      <c r="P224" s="18"/>
      <c r="Q224" s="18"/>
      <c r="R224" s="42"/>
      <c r="S224" s="18"/>
      <c r="T224" s="18"/>
      <c r="U224" s="18"/>
      <c r="V224" s="42"/>
      <c r="W224" s="18"/>
      <c r="X224" s="18"/>
    </row>
    <row r="225" spans="4:24" x14ac:dyDescent="0.25">
      <c r="D225" s="18"/>
      <c r="E225" s="18"/>
      <c r="G225" s="18"/>
      <c r="H225" s="18"/>
      <c r="I225" s="18"/>
      <c r="J225" s="42"/>
      <c r="K225" s="18"/>
      <c r="L225" s="18"/>
      <c r="M225" s="18"/>
      <c r="P225" s="18"/>
      <c r="Q225" s="18"/>
      <c r="R225" s="42"/>
      <c r="S225" s="18"/>
      <c r="T225" s="18"/>
      <c r="U225" s="18"/>
      <c r="V225" s="42"/>
      <c r="W225" s="18"/>
      <c r="X225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2:Z21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255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584452.64000000013</v>
      </c>
      <c r="E12" s="4"/>
      <c r="F12" s="12"/>
      <c r="G12" s="4"/>
      <c r="H12" s="4">
        <f>SUM(OSRRefH13x_0)</f>
        <v>369144.87</v>
      </c>
      <c r="I12" s="4"/>
      <c r="J12" s="12"/>
      <c r="K12" s="4"/>
      <c r="L12" s="4">
        <f t="shared" ref="L12:L74" si="0">+D12-H12</f>
        <v>215307.77000000014</v>
      </c>
      <c r="M12" s="4"/>
      <c r="N12" s="12">
        <f t="shared" ref="N12:N74" si="1">IF(H12=0,0,L12/H12)</f>
        <v>0.58326090242023443</v>
      </c>
      <c r="O12" s="10"/>
      <c r="P12" s="4">
        <f>SUM(OSRRefP13x_0)</f>
        <v>2317745.3099999996</v>
      </c>
      <c r="Q12" s="4"/>
      <c r="R12" s="12"/>
      <c r="S12" s="4"/>
      <c r="T12" s="4">
        <f>SUM(OSRRefT13x_0)</f>
        <v>2193901.2299999995</v>
      </c>
      <c r="U12" s="4"/>
      <c r="V12" s="12"/>
      <c r="W12" s="4"/>
      <c r="X12" s="4">
        <f t="shared" ref="X12:X74" si="2">+P12-T12</f>
        <v>123844.08000000007</v>
      </c>
      <c r="Y12" s="4"/>
      <c r="Z12" s="12">
        <f t="shared" ref="Z12:Z74" si="3">IF(T12=0,0,X12/T12)</f>
        <v>5.6449250452355187E-2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--483885.87</f>
        <v>483885.87</v>
      </c>
      <c r="E13" s="2"/>
      <c r="F13" s="19"/>
      <c r="G13" s="2"/>
      <c r="H13" s="2">
        <f>-8123.23</f>
        <v>-8123.23</v>
      </c>
      <c r="I13" s="2"/>
      <c r="J13" s="19"/>
      <c r="K13" s="2"/>
      <c r="L13" s="2">
        <f t="shared" si="0"/>
        <v>492009.1</v>
      </c>
      <c r="M13" s="2"/>
      <c r="N13" s="19">
        <f t="shared" si="1"/>
        <v>-60.568160694699031</v>
      </c>
      <c r="O13" s="11"/>
      <c r="P13" s="2">
        <f>--1891352.58</f>
        <v>1891352.58</v>
      </c>
      <c r="Q13" s="2"/>
      <c r="R13" s="19"/>
      <c r="S13" s="2"/>
      <c r="T13" s="2">
        <f>-36077.08</f>
        <v>-36077.08</v>
      </c>
      <c r="U13" s="2"/>
      <c r="V13" s="19"/>
      <c r="W13" s="2"/>
      <c r="X13" s="2">
        <f t="shared" si="2"/>
        <v>1927429.6600000001</v>
      </c>
      <c r="Y13" s="2"/>
      <c r="Z13" s="19">
        <f t="shared" si="3"/>
        <v>-53.425323224606871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3" si="4">0</f>
        <v>0</v>
      </c>
      <c r="E14" s="2"/>
      <c r="F14" s="19"/>
      <c r="G14" s="2"/>
      <c r="H14" s="2">
        <f>--110499.32</f>
        <v>110499.32</v>
      </c>
      <c r="I14" s="2"/>
      <c r="J14" s="19"/>
      <c r="K14" s="2"/>
      <c r="L14" s="2">
        <f t="shared" si="0"/>
        <v>-110499.32</v>
      </c>
      <c r="M14" s="2"/>
      <c r="N14" s="19">
        <f t="shared" si="1"/>
        <v>-1</v>
      </c>
      <c r="O14" s="11"/>
      <c r="P14" s="2">
        <f t="shared" ref="P14:P33" si="5">0</f>
        <v>0</v>
      </c>
      <c r="Q14" s="2"/>
      <c r="R14" s="19"/>
      <c r="S14" s="2"/>
      <c r="T14" s="2">
        <f>--694696.64</f>
        <v>694696.64</v>
      </c>
      <c r="U14" s="2"/>
      <c r="V14" s="19"/>
      <c r="W14" s="2"/>
      <c r="X14" s="2">
        <f t="shared" si="2"/>
        <v>-694696.64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--38043.74</f>
        <v>38043.74</v>
      </c>
      <c r="I15" s="2"/>
      <c r="J15" s="19"/>
      <c r="K15" s="2"/>
      <c r="L15" s="2">
        <f t="shared" si="0"/>
        <v>-38043.74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--316655.9</f>
        <v>316655.90000000002</v>
      </c>
      <c r="U15" s="2"/>
      <c r="V15" s="19"/>
      <c r="W15" s="2"/>
      <c r="X15" s="2">
        <f t="shared" si="2"/>
        <v>-316655.90000000002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--1539.79</f>
        <v>1539.79</v>
      </c>
      <c r="I16" s="2"/>
      <c r="J16" s="19"/>
      <c r="K16" s="2"/>
      <c r="L16" s="2">
        <f t="shared" si="0"/>
        <v>-1539.79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--10595.63</f>
        <v>10595.63</v>
      </c>
      <c r="U16" s="2"/>
      <c r="V16" s="19"/>
      <c r="W16" s="2"/>
      <c r="X16" s="2">
        <f t="shared" si="2"/>
        <v>-10595.63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--284.22</f>
        <v>284.22000000000003</v>
      </c>
      <c r="I17" s="2"/>
      <c r="J17" s="19"/>
      <c r="K17" s="2"/>
      <c r="L17" s="2">
        <f t="shared" si="0"/>
        <v>-284.22000000000003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--2105.11</f>
        <v>2105.11</v>
      </c>
      <c r="U17" s="2"/>
      <c r="V17" s="19"/>
      <c r="W17" s="2"/>
      <c r="X17" s="2">
        <f t="shared" si="2"/>
        <v>-2105.11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--39.9</f>
        <v>39.9</v>
      </c>
      <c r="U18" s="2"/>
      <c r="V18" s="19"/>
      <c r="W18" s="2"/>
      <c r="X18" s="2">
        <f t="shared" si="2"/>
        <v>-39.9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--97.51</f>
        <v>97.51</v>
      </c>
      <c r="I19" s="2"/>
      <c r="J19" s="19"/>
      <c r="K19" s="2"/>
      <c r="L19" s="2">
        <f t="shared" si="0"/>
        <v>-97.51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--304.44</f>
        <v>304.44</v>
      </c>
      <c r="U19" s="2"/>
      <c r="V19" s="19"/>
      <c r="W19" s="2"/>
      <c r="X19" s="2">
        <f t="shared" si="2"/>
        <v>-304.44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--48.87</f>
        <v>48.87</v>
      </c>
      <c r="I20" s="2"/>
      <c r="J20" s="19"/>
      <c r="K20" s="2"/>
      <c r="L20" s="2">
        <f t="shared" si="0"/>
        <v>-48.87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--21.47</f>
        <v>21.47</v>
      </c>
      <c r="I21" s="2"/>
      <c r="J21" s="19"/>
      <c r="K21" s="2"/>
      <c r="L21" s="2">
        <f t="shared" si="0"/>
        <v>-21.47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--258.03</f>
        <v>258.02999999999997</v>
      </c>
      <c r="U21" s="2"/>
      <c r="V21" s="19"/>
      <c r="W21" s="2"/>
      <c r="X21" s="2">
        <f t="shared" si="2"/>
        <v>-258.02999999999997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--10773.55</f>
        <v>10773.55</v>
      </c>
      <c r="I22" s="2"/>
      <c r="J22" s="19"/>
      <c r="K22" s="2"/>
      <c r="L22" s="2">
        <f t="shared" si="0"/>
        <v>-10773.55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--32674.61</f>
        <v>32674.61</v>
      </c>
      <c r="U22" s="2"/>
      <c r="V22" s="19"/>
      <c r="W22" s="2"/>
      <c r="X22" s="2">
        <f t="shared" si="2"/>
        <v>-32674.61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--2807.8</f>
        <v>2807.8</v>
      </c>
      <c r="I23" s="2"/>
      <c r="J23" s="19"/>
      <c r="K23" s="2"/>
      <c r="L23" s="2">
        <f t="shared" si="0"/>
        <v>-2807.8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--12498.9</f>
        <v>12498.9</v>
      </c>
      <c r="U23" s="2"/>
      <c r="V23" s="19"/>
      <c r="W23" s="2"/>
      <c r="X23" s="2">
        <f t="shared" si="2"/>
        <v>-12498.9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--685.9</f>
        <v>685.9</v>
      </c>
      <c r="I24" s="2"/>
      <c r="J24" s="19"/>
      <c r="K24" s="2"/>
      <c r="L24" s="2">
        <f t="shared" si="0"/>
        <v>-685.9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--1238.16</f>
        <v>1238.1600000000001</v>
      </c>
      <c r="U24" s="2"/>
      <c r="V24" s="19"/>
      <c r="W24" s="2"/>
      <c r="X24" s="2">
        <f t="shared" si="2"/>
        <v>-1238.1600000000001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 t="shared" si="4"/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--6.78</f>
        <v>6.78</v>
      </c>
      <c r="U25" s="2"/>
      <c r="V25" s="19"/>
      <c r="W25" s="2"/>
      <c r="X25" s="2">
        <f t="shared" si="2"/>
        <v>-6.78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 t="shared" si="4"/>
        <v>0</v>
      </c>
      <c r="E26" s="2"/>
      <c r="F26" s="19"/>
      <c r="G26" s="2"/>
      <c r="H26" s="2">
        <f>--78841.84</f>
        <v>78841.84</v>
      </c>
      <c r="I26" s="2"/>
      <c r="J26" s="19"/>
      <c r="K26" s="2"/>
      <c r="L26" s="2">
        <f t="shared" si="0"/>
        <v>-78841.84</v>
      </c>
      <c r="M26" s="2"/>
      <c r="N26" s="19">
        <f t="shared" si="1"/>
        <v>-1</v>
      </c>
      <c r="O26" s="11"/>
      <c r="P26" s="2">
        <f t="shared" si="5"/>
        <v>0</v>
      </c>
      <c r="Q26" s="2"/>
      <c r="R26" s="19"/>
      <c r="S26" s="2"/>
      <c r="T26" s="2">
        <f>--328420.19</f>
        <v>328420.19</v>
      </c>
      <c r="U26" s="2"/>
      <c r="V26" s="19"/>
      <c r="W26" s="2"/>
      <c r="X26" s="2">
        <f t="shared" si="2"/>
        <v>-328420.19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 t="shared" si="4"/>
        <v>0</v>
      </c>
      <c r="E27" s="2"/>
      <c r="F27" s="19"/>
      <c r="G27" s="2"/>
      <c r="H27" s="2">
        <f>--27724.06</f>
        <v>27724.06</v>
      </c>
      <c r="I27" s="2"/>
      <c r="J27" s="19"/>
      <c r="K27" s="2"/>
      <c r="L27" s="2">
        <f t="shared" si="0"/>
        <v>-27724.06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--131033.62</f>
        <v>131033.62</v>
      </c>
      <c r="U27" s="2"/>
      <c r="V27" s="19"/>
      <c r="W27" s="2"/>
      <c r="X27" s="2">
        <f t="shared" si="2"/>
        <v>-131033.62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 t="shared" si="4"/>
        <v>0</v>
      </c>
      <c r="E28" s="2"/>
      <c r="F28" s="19"/>
      <c r="G28" s="2"/>
      <c r="H28" s="2">
        <f>--8004.46</f>
        <v>8004.46</v>
      </c>
      <c r="I28" s="2"/>
      <c r="J28" s="19"/>
      <c r="K28" s="2"/>
      <c r="L28" s="2">
        <f t="shared" si="0"/>
        <v>-8004.46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--47929.5</f>
        <v>47929.5</v>
      </c>
      <c r="U28" s="2"/>
      <c r="V28" s="19"/>
      <c r="W28" s="2"/>
      <c r="X28" s="2">
        <f t="shared" si="2"/>
        <v>-47929.5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 t="shared" si="4"/>
        <v>0</v>
      </c>
      <c r="E29" s="2"/>
      <c r="F29" s="19"/>
      <c r="G29" s="2"/>
      <c r="H29" s="2">
        <f>--2805.53</f>
        <v>2805.53</v>
      </c>
      <c r="I29" s="2"/>
      <c r="J29" s="19"/>
      <c r="K29" s="2"/>
      <c r="L29" s="2">
        <f t="shared" si="0"/>
        <v>-2805.53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--9791.16</f>
        <v>9791.16</v>
      </c>
      <c r="U29" s="2"/>
      <c r="V29" s="19"/>
      <c r="W29" s="2"/>
      <c r="X29" s="2">
        <f t="shared" si="2"/>
        <v>-9791.16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 t="shared" si="4"/>
        <v>0</v>
      </c>
      <c r="E30" s="2"/>
      <c r="F30" s="19"/>
      <c r="G30" s="2"/>
      <c r="H30" s="2">
        <f>--2962.32</f>
        <v>2962.32</v>
      </c>
      <c r="I30" s="2"/>
      <c r="J30" s="19"/>
      <c r="K30" s="2"/>
      <c r="L30" s="2">
        <f t="shared" si="0"/>
        <v>-2962.32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--11331.52</f>
        <v>11331.52</v>
      </c>
      <c r="U30" s="2"/>
      <c r="V30" s="19"/>
      <c r="W30" s="2"/>
      <c r="X30" s="2">
        <f t="shared" si="2"/>
        <v>-11331.52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 t="shared" si="4"/>
        <v>0</v>
      </c>
      <c r="E31" s="2"/>
      <c r="F31" s="19"/>
      <c r="G31" s="2"/>
      <c r="H31" s="2">
        <f>--2575.36</f>
        <v>2575.36</v>
      </c>
      <c r="I31" s="2"/>
      <c r="J31" s="19"/>
      <c r="K31" s="2"/>
      <c r="L31" s="2">
        <f t="shared" si="0"/>
        <v>-2575.36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--92006.44</f>
        <v>92006.44</v>
      </c>
      <c r="U31" s="2"/>
      <c r="V31" s="19"/>
      <c r="W31" s="2"/>
      <c r="X31" s="2">
        <f t="shared" si="2"/>
        <v>-92006.44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si="4"/>
        <v>0</v>
      </c>
      <c r="E32" s="2"/>
      <c r="F32" s="19"/>
      <c r="G32" s="2"/>
      <c r="H32" s="2">
        <f>--71.95</f>
        <v>71.95</v>
      </c>
      <c r="I32" s="2"/>
      <c r="J32" s="19"/>
      <c r="K32" s="2"/>
      <c r="L32" s="2">
        <f t="shared" si="0"/>
        <v>-71.95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--71.95</f>
        <v>71.95</v>
      </c>
      <c r="U32" s="2"/>
      <c r="V32" s="19"/>
      <c r="W32" s="2"/>
      <c r="X32" s="2">
        <f t="shared" si="2"/>
        <v>-71.95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"4083", " - ", "TAXABLE SALES-COMPUTER EQUIPME")</f>
        <v xml:space="preserve">          4083 - TAXABLE SALES-COMPUTER EQUIPME</v>
      </c>
      <c r="C33" s="11"/>
      <c r="D33" s="2">
        <f t="shared" si="4"/>
        <v>0</v>
      </c>
      <c r="E33" s="2"/>
      <c r="F33" s="19"/>
      <c r="G33" s="2"/>
      <c r="H33" s="2">
        <f>--9.99</f>
        <v>9.99</v>
      </c>
      <c r="I33" s="2"/>
      <c r="J33" s="19"/>
      <c r="K33" s="2"/>
      <c r="L33" s="2">
        <f t="shared" si="0"/>
        <v>-9.99</v>
      </c>
      <c r="M33" s="2"/>
      <c r="N33" s="19">
        <f t="shared" si="1"/>
        <v>-1</v>
      </c>
      <c r="O33" s="11"/>
      <c r="P33" s="2">
        <f t="shared" si="5"/>
        <v>0</v>
      </c>
      <c r="Q33" s="2"/>
      <c r="R33" s="19"/>
      <c r="S33" s="2"/>
      <c r="T33" s="2">
        <f>--9.99</f>
        <v>9.99</v>
      </c>
      <c r="U33" s="2"/>
      <c r="V33" s="19"/>
      <c r="W33" s="2"/>
      <c r="X33" s="2">
        <f t="shared" si="2"/>
        <v>-9.99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"4100", " - ", "NON-TAXABLE SALES")</f>
        <v xml:space="preserve">          4100 - NON-TAXABLE SALES</v>
      </c>
      <c r="C34" s="11"/>
      <c r="D34" s="2">
        <f>--121098.02</f>
        <v>121098.02</v>
      </c>
      <c r="E34" s="2"/>
      <c r="F34" s="19"/>
      <c r="G34" s="2"/>
      <c r="H34" s="2">
        <f>--10945.69</f>
        <v>10945.69</v>
      </c>
      <c r="I34" s="2"/>
      <c r="J34" s="19"/>
      <c r="K34" s="2"/>
      <c r="L34" s="2">
        <f t="shared" si="0"/>
        <v>110152.33</v>
      </c>
      <c r="M34" s="2"/>
      <c r="N34" s="19">
        <f t="shared" si="1"/>
        <v>10.063534596722546</v>
      </c>
      <c r="O34" s="11"/>
      <c r="P34" s="2">
        <f>--486998.38</f>
        <v>486998.38</v>
      </c>
      <c r="Q34" s="2"/>
      <c r="R34" s="19"/>
      <c r="S34" s="2"/>
      <c r="T34" s="2">
        <f>--164344.02</f>
        <v>164344.01999999999</v>
      </c>
      <c r="U34" s="2"/>
      <c r="V34" s="19"/>
      <c r="W34" s="2"/>
      <c r="X34" s="2">
        <f t="shared" si="2"/>
        <v>322654.36</v>
      </c>
      <c r="Y34" s="2"/>
      <c r="Z34" s="19">
        <f t="shared" si="3"/>
        <v>1.9632862820320447</v>
      </c>
    </row>
    <row r="35" spans="1:26" s="24" customFormat="1" hidden="1" outlineLevel="1" x14ac:dyDescent="0.25">
      <c r="A35" s="44"/>
      <c r="B35" s="11" t="str">
        <f>CONCATENATE("          ", "4101", " - ", "NON-TAXABLE SALES-NEW TEXT")</f>
        <v xml:space="preserve">          4101 - NON-TAXABLE SALES-NEW TEXT</v>
      </c>
      <c r="C35" s="11"/>
      <c r="D35" s="2">
        <f t="shared" ref="D35:D47" si="6">0</f>
        <v>0</v>
      </c>
      <c r="E35" s="2"/>
      <c r="F35" s="19"/>
      <c r="G35" s="2"/>
      <c r="H35" s="2">
        <f>--18824.16</f>
        <v>18824.16</v>
      </c>
      <c r="I35" s="2"/>
      <c r="J35" s="19"/>
      <c r="K35" s="2"/>
      <c r="L35" s="2">
        <f t="shared" si="0"/>
        <v>-18824.16</v>
      </c>
      <c r="M35" s="2"/>
      <c r="N35" s="19">
        <f t="shared" si="1"/>
        <v>-1</v>
      </c>
      <c r="O35" s="11"/>
      <c r="P35" s="2">
        <f t="shared" ref="P35:P47" si="7">0</f>
        <v>0</v>
      </c>
      <c r="Q35" s="2"/>
      <c r="R35" s="19"/>
      <c r="S35" s="2"/>
      <c r="T35" s="2">
        <f>--70404.84</f>
        <v>70404.84</v>
      </c>
      <c r="U35" s="2"/>
      <c r="V35" s="19"/>
      <c r="W35" s="2"/>
      <c r="X35" s="2">
        <f t="shared" si="2"/>
        <v>-70404.84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"4102", " - ", "NON-TAXABLE SALES-USED TEXT")</f>
        <v xml:space="preserve">          4102 - NON-TAXABLE SALES-USED TEXT</v>
      </c>
      <c r="C36" s="11"/>
      <c r="D36" s="2">
        <f t="shared" si="6"/>
        <v>0</v>
      </c>
      <c r="E36" s="2"/>
      <c r="F36" s="19"/>
      <c r="G36" s="2"/>
      <c r="H36" s="2">
        <f>--8807.08</f>
        <v>8807.08</v>
      </c>
      <c r="I36" s="2"/>
      <c r="J36" s="19"/>
      <c r="K36" s="2"/>
      <c r="L36" s="2">
        <f t="shared" si="0"/>
        <v>-8807.08</v>
      </c>
      <c r="M36" s="2"/>
      <c r="N36" s="19">
        <f t="shared" si="1"/>
        <v>-1</v>
      </c>
      <c r="O36" s="11"/>
      <c r="P36" s="2">
        <f t="shared" si="7"/>
        <v>0</v>
      </c>
      <c r="Q36" s="2"/>
      <c r="R36" s="19"/>
      <c r="S36" s="2"/>
      <c r="T36" s="2">
        <f>--30370.82</f>
        <v>30370.82</v>
      </c>
      <c r="U36" s="2"/>
      <c r="V36" s="19"/>
      <c r="W36" s="2"/>
      <c r="X36" s="2">
        <f t="shared" si="2"/>
        <v>-30370.82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"4103", " - ", "NON-TAXABLE SALES-RENTAL TEXT")</f>
        <v xml:space="preserve">          4103 - NON-TAXABLE SALES-RENTAL TEXT</v>
      </c>
      <c r="C37" s="11"/>
      <c r="D37" s="2">
        <f t="shared" si="6"/>
        <v>0</v>
      </c>
      <c r="E37" s="2"/>
      <c r="F37" s="19"/>
      <c r="G37" s="2"/>
      <c r="H37" s="2">
        <f>--284.97</f>
        <v>284.97000000000003</v>
      </c>
      <c r="I37" s="2"/>
      <c r="J37" s="19"/>
      <c r="K37" s="2"/>
      <c r="L37" s="2">
        <f t="shared" si="0"/>
        <v>-284.97000000000003</v>
      </c>
      <c r="M37" s="2"/>
      <c r="N37" s="19">
        <f t="shared" si="1"/>
        <v>-1</v>
      </c>
      <c r="O37" s="11"/>
      <c r="P37" s="2">
        <f t="shared" si="7"/>
        <v>0</v>
      </c>
      <c r="Q37" s="2"/>
      <c r="R37" s="19"/>
      <c r="S37" s="2"/>
      <c r="T37" s="2">
        <f>--284.97</f>
        <v>284.97000000000003</v>
      </c>
      <c r="U37" s="2"/>
      <c r="V37" s="19"/>
      <c r="W37" s="2"/>
      <c r="X37" s="2">
        <f t="shared" si="2"/>
        <v>-284.97000000000003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"4104", " - ", "NON-TAXABLE SALES-DIGITAL TEXT")</f>
        <v xml:space="preserve">          4104 - NON-TAXABLE SALES-DIGITAL TEXT</v>
      </c>
      <c r="C38" s="11"/>
      <c r="D38" s="2">
        <f t="shared" si="6"/>
        <v>0</v>
      </c>
      <c r="E38" s="2"/>
      <c r="F38" s="19"/>
      <c r="G38" s="2"/>
      <c r="H38" s="2">
        <f>--73817.67</f>
        <v>73817.67</v>
      </c>
      <c r="I38" s="2"/>
      <c r="J38" s="19"/>
      <c r="K38" s="2"/>
      <c r="L38" s="2">
        <f t="shared" si="0"/>
        <v>-73817.67</v>
      </c>
      <c r="M38" s="2"/>
      <c r="N38" s="19">
        <f t="shared" si="1"/>
        <v>-1</v>
      </c>
      <c r="O38" s="11"/>
      <c r="P38" s="2">
        <f t="shared" si="7"/>
        <v>0</v>
      </c>
      <c r="Q38" s="2"/>
      <c r="R38" s="19"/>
      <c r="S38" s="2"/>
      <c r="T38" s="2">
        <f>--286707.85</f>
        <v>286707.84999999998</v>
      </c>
      <c r="U38" s="2"/>
      <c r="V38" s="19"/>
      <c r="W38" s="2"/>
      <c r="X38" s="2">
        <f t="shared" si="2"/>
        <v>-286707.84999999998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"4118", " - ", "NON-TAXABLE SALES-STUDY GUIDES")</f>
        <v xml:space="preserve">          4118 - NON-TAXABLE SALES-STUDY GUIDES</v>
      </c>
      <c r="C39" s="11"/>
      <c r="D39" s="2">
        <f t="shared" si="6"/>
        <v>0</v>
      </c>
      <c r="E39" s="2"/>
      <c r="F39" s="19"/>
      <c r="G39" s="2"/>
      <c r="H39" s="2">
        <f>--6.5</f>
        <v>6.5</v>
      </c>
      <c r="I39" s="2"/>
      <c r="J39" s="19"/>
      <c r="K39" s="2"/>
      <c r="L39" s="2">
        <f t="shared" si="0"/>
        <v>-6.5</v>
      </c>
      <c r="M39" s="2"/>
      <c r="N39" s="19">
        <f t="shared" si="1"/>
        <v>-1</v>
      </c>
      <c r="O39" s="11"/>
      <c r="P39" s="2">
        <f t="shared" si="7"/>
        <v>0</v>
      </c>
      <c r="Q39" s="2"/>
      <c r="R39" s="19"/>
      <c r="S39" s="2"/>
      <c r="T39" s="2">
        <f>--108.33</f>
        <v>108.33</v>
      </c>
      <c r="U39" s="2"/>
      <c r="V39" s="19"/>
      <c r="W39" s="2"/>
      <c r="X39" s="2">
        <f t="shared" si="2"/>
        <v>-108.33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"4126", " - ", "NON-TAXABLE SALES-WRITING INST")</f>
        <v xml:space="preserve">          4126 - NON-TAXABLE SALES-WRITING INST</v>
      </c>
      <c r="C40" s="11"/>
      <c r="D40" s="2">
        <f t="shared" si="6"/>
        <v>0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 t="shared" si="7"/>
        <v>0</v>
      </c>
      <c r="Q40" s="2"/>
      <c r="R40" s="19"/>
      <c r="S40" s="2"/>
      <c r="T40" s="2">
        <f>--52.68</f>
        <v>52.68</v>
      </c>
      <c r="U40" s="2"/>
      <c r="V40" s="19"/>
      <c r="W40" s="2"/>
      <c r="X40" s="2">
        <f t="shared" si="2"/>
        <v>-52.68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"4127", " - ", "NON-TAXABLE SALES-SCHOOL SUPPL")</f>
        <v xml:space="preserve">          4127 - NON-TAXABLE SALES-SCHOOL SUPPL</v>
      </c>
      <c r="C41" s="11"/>
      <c r="D41" s="2">
        <f t="shared" si="6"/>
        <v>0</v>
      </c>
      <c r="E41" s="2"/>
      <c r="F41" s="19"/>
      <c r="G41" s="2"/>
      <c r="H41" s="2">
        <f>--810.33</f>
        <v>810.33</v>
      </c>
      <c r="I41" s="2"/>
      <c r="J41" s="19"/>
      <c r="K41" s="2"/>
      <c r="L41" s="2">
        <f t="shared" si="0"/>
        <v>-810.33</v>
      </c>
      <c r="M41" s="2"/>
      <c r="N41" s="19">
        <f t="shared" si="1"/>
        <v>-1</v>
      </c>
      <c r="O41" s="11"/>
      <c r="P41" s="2">
        <f t="shared" si="7"/>
        <v>0</v>
      </c>
      <c r="Q41" s="2"/>
      <c r="R41" s="19"/>
      <c r="S41" s="2"/>
      <c r="T41" s="2">
        <f>--2670.74</f>
        <v>2670.74</v>
      </c>
      <c r="U41" s="2"/>
      <c r="V41" s="19"/>
      <c r="W41" s="2"/>
      <c r="X41" s="2">
        <f t="shared" si="2"/>
        <v>-2670.74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"4131", " - ", "NON-TAXABLE SALES-FOOD")</f>
        <v xml:space="preserve">          4131 - NON-TAXABLE SALES-FOOD</v>
      </c>
      <c r="C42" s="11"/>
      <c r="D42" s="2">
        <f t="shared" si="6"/>
        <v>0</v>
      </c>
      <c r="E42" s="2"/>
      <c r="F42" s="19"/>
      <c r="G42" s="2"/>
      <c r="H42" s="2">
        <f>--2168.74</f>
        <v>2168.7399999999998</v>
      </c>
      <c r="I42" s="2"/>
      <c r="J42" s="19"/>
      <c r="K42" s="2"/>
      <c r="L42" s="2">
        <f t="shared" si="0"/>
        <v>-2168.7399999999998</v>
      </c>
      <c r="M42" s="2"/>
      <c r="N42" s="19">
        <f t="shared" si="1"/>
        <v>-1</v>
      </c>
      <c r="O42" s="11"/>
      <c r="P42" s="2">
        <f t="shared" si="7"/>
        <v>0</v>
      </c>
      <c r="Q42" s="2"/>
      <c r="R42" s="19"/>
      <c r="S42" s="2"/>
      <c r="T42" s="2">
        <f>--4003.96</f>
        <v>4003.96</v>
      </c>
      <c r="U42" s="2"/>
      <c r="V42" s="19"/>
      <c r="W42" s="2"/>
      <c r="X42" s="2">
        <f t="shared" si="2"/>
        <v>-4003.96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"4132", " - ", "NON-TAXABLE SALES-JUICE")</f>
        <v xml:space="preserve">          4132 - NON-TAXABLE SALES-JUICE</v>
      </c>
      <c r="C43" s="11"/>
      <c r="D43" s="2">
        <f t="shared" si="6"/>
        <v>0</v>
      </c>
      <c r="E43" s="2"/>
      <c r="F43" s="19"/>
      <c r="G43" s="2"/>
      <c r="H43" s="2">
        <f t="shared" ref="H43:H46" si="8"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 t="shared" si="7"/>
        <v>0</v>
      </c>
      <c r="Q43" s="2"/>
      <c r="R43" s="19"/>
      <c r="S43" s="2"/>
      <c r="T43" s="2">
        <f>--22.49</f>
        <v>22.49</v>
      </c>
      <c r="U43" s="2"/>
      <c r="V43" s="19"/>
      <c r="W43" s="2"/>
      <c r="X43" s="2">
        <f t="shared" si="2"/>
        <v>-22.49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"4133", " - ", "NON-TAXABLE SALES-CANDY")</f>
        <v xml:space="preserve">          4133 - NON-TAXABLE SALES-CANDY</v>
      </c>
      <c r="C44" s="11"/>
      <c r="D44" s="2">
        <f t="shared" si="6"/>
        <v>0</v>
      </c>
      <c r="E44" s="2"/>
      <c r="F44" s="19"/>
      <c r="G44" s="2"/>
      <c r="H44" s="2">
        <f t="shared" si="8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 t="shared" si="7"/>
        <v>0</v>
      </c>
      <c r="Q44" s="2"/>
      <c r="R44" s="19"/>
      <c r="S44" s="2"/>
      <c r="T44" s="2">
        <f>--80.71</f>
        <v>80.709999999999994</v>
      </c>
      <c r="U44" s="2"/>
      <c r="V44" s="19"/>
      <c r="W44" s="2"/>
      <c r="X44" s="2">
        <f t="shared" si="2"/>
        <v>-80.709999999999994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"4134", " - ", "NON-TAXABLE SALES-SODA")</f>
        <v xml:space="preserve">          4134 - NON-TAXABLE SALES-SODA</v>
      </c>
      <c r="C45" s="11"/>
      <c r="D45" s="2">
        <f t="shared" si="6"/>
        <v>0</v>
      </c>
      <c r="E45" s="2"/>
      <c r="F45" s="19"/>
      <c r="G45" s="2"/>
      <c r="H45" s="2">
        <f t="shared" si="8"/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 t="shared" si="7"/>
        <v>0</v>
      </c>
      <c r="Q45" s="2"/>
      <c r="R45" s="19"/>
      <c r="S45" s="2"/>
      <c r="T45" s="2">
        <f>--45.53</f>
        <v>45.53</v>
      </c>
      <c r="U45" s="2"/>
      <c r="V45" s="19"/>
      <c r="W45" s="2"/>
      <c r="X45" s="2">
        <f t="shared" si="2"/>
        <v>-45.53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"4137", " - ", "NON-TAXABLE SALES-WATER")</f>
        <v xml:space="preserve">          4137 - NON-TAXABLE SALES-WATER</v>
      </c>
      <c r="C46" s="11"/>
      <c r="D46" s="2">
        <f t="shared" si="6"/>
        <v>0</v>
      </c>
      <c r="E46" s="2"/>
      <c r="F46" s="19"/>
      <c r="G46" s="2"/>
      <c r="H46" s="2">
        <f t="shared" si="8"/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si="7"/>
        <v>0</v>
      </c>
      <c r="Q46" s="2"/>
      <c r="R46" s="19"/>
      <c r="S46" s="2"/>
      <c r="T46" s="2">
        <f>--68.25</f>
        <v>68.25</v>
      </c>
      <c r="U46" s="2"/>
      <c r="V46" s="19"/>
      <c r="W46" s="2"/>
      <c r="X46" s="2">
        <f t="shared" si="2"/>
        <v>-68.25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"4140", " - ", "NON-TAXABLE SALES-LOGO CLOTHIN")</f>
        <v xml:space="preserve">          4140 - NON-TAXABLE SALES-LOGO CLOTHIN</v>
      </c>
      <c r="C47" s="11"/>
      <c r="D47" s="2">
        <f t="shared" si="6"/>
        <v>0</v>
      </c>
      <c r="E47" s="2"/>
      <c r="F47" s="19"/>
      <c r="G47" s="2"/>
      <c r="H47" s="2">
        <f>--3339.7</f>
        <v>3339.7</v>
      </c>
      <c r="I47" s="2"/>
      <c r="J47" s="19"/>
      <c r="K47" s="2"/>
      <c r="L47" s="2">
        <f t="shared" si="0"/>
        <v>-3339.7</v>
      </c>
      <c r="M47" s="2"/>
      <c r="N47" s="19">
        <f t="shared" si="1"/>
        <v>-1</v>
      </c>
      <c r="O47" s="11"/>
      <c r="P47" s="2">
        <f t="shared" si="7"/>
        <v>0</v>
      </c>
      <c r="Q47" s="2"/>
      <c r="R47" s="19"/>
      <c r="S47" s="2"/>
      <c r="T47" s="2">
        <f>--17452.44</f>
        <v>17452.439999999999</v>
      </c>
      <c r="U47" s="2"/>
      <c r="V47" s="19"/>
      <c r="W47" s="2"/>
      <c r="X47" s="2">
        <f t="shared" si="2"/>
        <v>-17452.439999999999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"4141", " - ", "NON-TAXABLE SALES-LOGO GIFTS")</f>
        <v xml:space="preserve">          4141 - NON-TAXABLE SALES-LOGO GIFTS</v>
      </c>
      <c r="C48" s="11"/>
      <c r="D48" s="2">
        <f>--71.05</f>
        <v>71.05</v>
      </c>
      <c r="E48" s="2"/>
      <c r="F48" s="19"/>
      <c r="G48" s="2"/>
      <c r="H48" s="2">
        <f>--555.74</f>
        <v>555.74</v>
      </c>
      <c r="I48" s="2"/>
      <c r="J48" s="19"/>
      <c r="K48" s="2"/>
      <c r="L48" s="2">
        <f t="shared" si="0"/>
        <v>-484.69</v>
      </c>
      <c r="M48" s="2"/>
      <c r="N48" s="19">
        <f t="shared" si="1"/>
        <v>-0.87215244538813108</v>
      </c>
      <c r="O48" s="11"/>
      <c r="P48" s="2">
        <f>--460.55</f>
        <v>460.55</v>
      </c>
      <c r="Q48" s="2"/>
      <c r="R48" s="19"/>
      <c r="S48" s="2"/>
      <c r="T48" s="2">
        <f>--2944.99</f>
        <v>2944.99</v>
      </c>
      <c r="U48" s="2"/>
      <c r="V48" s="19"/>
      <c r="W48" s="2"/>
      <c r="X48" s="2">
        <f t="shared" si="2"/>
        <v>-2484.4399999999996</v>
      </c>
      <c r="Y48" s="2"/>
      <c r="Z48" s="19">
        <f t="shared" si="3"/>
        <v>-0.84361576779547631</v>
      </c>
    </row>
    <row r="49" spans="1:26" s="24" customFormat="1" hidden="1" outlineLevel="1" x14ac:dyDescent="0.25">
      <c r="A49" s="44"/>
      <c r="B49" s="11" t="str">
        <f>CONCATENATE("          ", "4142", " - ", "NON-TAXABLE SALES-EVERYDAY GIF")</f>
        <v xml:space="preserve">          4142 - NON-TAXABLE SALES-EVERYDAY GIF</v>
      </c>
      <c r="C49" s="11"/>
      <c r="D49" s="2">
        <f t="shared" ref="D49:D52" si="9">0</f>
        <v>0</v>
      </c>
      <c r="E49" s="2"/>
      <c r="F49" s="19"/>
      <c r="G49" s="2"/>
      <c r="H49" s="2">
        <f>--30.16</f>
        <v>30.16</v>
      </c>
      <c r="I49" s="2"/>
      <c r="J49" s="19"/>
      <c r="K49" s="2"/>
      <c r="L49" s="2">
        <f t="shared" si="0"/>
        <v>-30.16</v>
      </c>
      <c r="M49" s="2"/>
      <c r="N49" s="19">
        <f t="shared" si="1"/>
        <v>-1</v>
      </c>
      <c r="O49" s="11"/>
      <c r="P49" s="2">
        <f t="shared" ref="P49:P52" si="10">0</f>
        <v>0</v>
      </c>
      <c r="Q49" s="2"/>
      <c r="R49" s="19"/>
      <c r="S49" s="2"/>
      <c r="T49" s="2">
        <f>--1009.73</f>
        <v>1009.73</v>
      </c>
      <c r="U49" s="2"/>
      <c r="V49" s="19"/>
      <c r="W49" s="2"/>
      <c r="X49" s="2">
        <f t="shared" si="2"/>
        <v>-1009.73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"4143", " - ", "NON-TAXABLE SALES-CARDS")</f>
        <v xml:space="preserve">          4143 - NON-TAXABLE SALES-CARDS</v>
      </c>
      <c r="C50" s="11"/>
      <c r="D50" s="2">
        <f t="shared" si="9"/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 t="shared" si="10"/>
        <v>0</v>
      </c>
      <c r="Q50" s="2"/>
      <c r="R50" s="19"/>
      <c r="S50" s="2"/>
      <c r="T50" s="2">
        <f>--19.98</f>
        <v>19.98</v>
      </c>
      <c r="U50" s="2"/>
      <c r="V50" s="19"/>
      <c r="W50" s="2"/>
      <c r="X50" s="2">
        <f t="shared" si="2"/>
        <v>-19.98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"4144", " - ", "NON-TAXABLE SALES-ACCESSORIES")</f>
        <v xml:space="preserve">          4144 - NON-TAXABLE SALES-ACCESSORIES</v>
      </c>
      <c r="C51" s="11"/>
      <c r="D51" s="2">
        <f t="shared" si="9"/>
        <v>0</v>
      </c>
      <c r="E51" s="2"/>
      <c r="F51" s="19"/>
      <c r="G51" s="2"/>
      <c r="H51" s="2">
        <f>--59.95</f>
        <v>59.95</v>
      </c>
      <c r="I51" s="2"/>
      <c r="J51" s="19"/>
      <c r="K51" s="2"/>
      <c r="L51" s="2">
        <f t="shared" si="0"/>
        <v>-59.95</v>
      </c>
      <c r="M51" s="2"/>
      <c r="N51" s="19">
        <f t="shared" si="1"/>
        <v>-1</v>
      </c>
      <c r="O51" s="11"/>
      <c r="P51" s="2">
        <f t="shared" si="10"/>
        <v>0</v>
      </c>
      <c r="Q51" s="2"/>
      <c r="R51" s="19"/>
      <c r="S51" s="2"/>
      <c r="T51" s="2">
        <f>--215.75</f>
        <v>215.75</v>
      </c>
      <c r="U51" s="2"/>
      <c r="V51" s="19"/>
      <c r="W51" s="2"/>
      <c r="X51" s="2">
        <f t="shared" si="2"/>
        <v>-215.75</v>
      </c>
      <c r="Y51" s="2"/>
      <c r="Z51" s="19">
        <f t="shared" si="3"/>
        <v>-1</v>
      </c>
    </row>
    <row r="52" spans="1:26" s="24" customFormat="1" hidden="1" outlineLevel="1" x14ac:dyDescent="0.25">
      <c r="A52" s="44"/>
      <c r="B52" s="11" t="str">
        <f>CONCATENATE("          ", "4145", " - ", "NON-TAXABLE SALES-SPECIAL ORDE")</f>
        <v xml:space="preserve">          4145 - NON-TAXABLE SALES-SPECIAL ORDE</v>
      </c>
      <c r="C52" s="11"/>
      <c r="D52" s="2">
        <f t="shared" si="9"/>
        <v>0</v>
      </c>
      <c r="E52" s="2"/>
      <c r="F52" s="19"/>
      <c r="G52" s="2"/>
      <c r="H52" s="2">
        <f>0</f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 t="shared" si="10"/>
        <v>0</v>
      </c>
      <c r="Q52" s="2"/>
      <c r="R52" s="19"/>
      <c r="S52" s="2"/>
      <c r="T52" s="2">
        <f>--35846</f>
        <v>35846</v>
      </c>
      <c r="U52" s="2"/>
      <c r="V52" s="19"/>
      <c r="W52" s="2"/>
      <c r="X52" s="2">
        <f t="shared" si="2"/>
        <v>-35846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"4146", " - ", "NON-TAXABLE SALES-COIN OP MACH")</f>
        <v xml:space="preserve">          4146 - NON-TAXABLE SALES-COIN OP MACH</v>
      </c>
      <c r="C53" s="11"/>
      <c r="D53" s="2">
        <f>--4759.35</f>
        <v>4759.3500000000004</v>
      </c>
      <c r="E53" s="2"/>
      <c r="F53" s="19"/>
      <c r="G53" s="2"/>
      <c r="H53" s="2">
        <f>--49.7</f>
        <v>49.7</v>
      </c>
      <c r="I53" s="2"/>
      <c r="J53" s="19"/>
      <c r="K53" s="2"/>
      <c r="L53" s="2">
        <f t="shared" si="0"/>
        <v>4709.6500000000005</v>
      </c>
      <c r="M53" s="2"/>
      <c r="N53" s="19">
        <f t="shared" si="1"/>
        <v>94.761569416499</v>
      </c>
      <c r="O53" s="11"/>
      <c r="P53" s="2">
        <f>--7492.95</f>
        <v>7492.95</v>
      </c>
      <c r="Q53" s="2"/>
      <c r="R53" s="19"/>
      <c r="S53" s="2"/>
      <c r="T53" s="2">
        <f>--65.2</f>
        <v>65.2</v>
      </c>
      <c r="U53" s="2"/>
      <c r="V53" s="19"/>
      <c r="W53" s="2"/>
      <c r="X53" s="2">
        <f t="shared" si="2"/>
        <v>7427.75</v>
      </c>
      <c r="Y53" s="2"/>
      <c r="Z53" s="19">
        <f t="shared" si="3"/>
        <v>113.92254601226993</v>
      </c>
    </row>
    <row r="54" spans="1:26" s="24" customFormat="1" hidden="1" outlineLevel="1" x14ac:dyDescent="0.25">
      <c r="A54" s="44"/>
      <c r="B54" s="11" t="str">
        <f>CONCATENATE("          ", "4147", " - ", "NON-TAXABLE SALES-MISC")</f>
        <v xml:space="preserve">          4147 - NON-TAXABLE SALES-MISC</v>
      </c>
      <c r="C54" s="11"/>
      <c r="D54" s="2">
        <f>0</f>
        <v>0</v>
      </c>
      <c r="E54" s="2"/>
      <c r="F54" s="19"/>
      <c r="G54" s="2"/>
      <c r="H54" s="2">
        <f>--24</f>
        <v>24</v>
      </c>
      <c r="I54" s="2"/>
      <c r="J54" s="19"/>
      <c r="K54" s="2"/>
      <c r="L54" s="2">
        <f t="shared" si="0"/>
        <v>-24</v>
      </c>
      <c r="M54" s="2"/>
      <c r="N54" s="19">
        <f t="shared" si="1"/>
        <v>-1</v>
      </c>
      <c r="O54" s="11"/>
      <c r="P54" s="2">
        <f>0</f>
        <v>0</v>
      </c>
      <c r="Q54" s="2"/>
      <c r="R54" s="19"/>
      <c r="S54" s="2"/>
      <c r="T54" s="2">
        <f>--48</f>
        <v>48</v>
      </c>
      <c r="U54" s="2"/>
      <c r="V54" s="19"/>
      <c r="W54" s="2"/>
      <c r="X54" s="2">
        <f t="shared" si="2"/>
        <v>-48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"4200", " - ", "TAXABLE RETURNS")</f>
        <v xml:space="preserve">          4200 - TAXABLE RETURNS</v>
      </c>
      <c r="C55" s="11"/>
      <c r="D55" s="2">
        <f>-22646.07</f>
        <v>-22646.07</v>
      </c>
      <c r="E55" s="2"/>
      <c r="F55" s="19"/>
      <c r="G55" s="2"/>
      <c r="H55" s="2">
        <f>0</f>
        <v>0</v>
      </c>
      <c r="I55" s="2"/>
      <c r="J55" s="19"/>
      <c r="K55" s="2"/>
      <c r="L55" s="2">
        <f t="shared" si="0"/>
        <v>-22646.07</v>
      </c>
      <c r="M55" s="2"/>
      <c r="N55" s="19">
        <f t="shared" si="1"/>
        <v>0</v>
      </c>
      <c r="O55" s="11"/>
      <c r="P55" s="2">
        <f>-48452.91</f>
        <v>-48452.91</v>
      </c>
      <c r="Q55" s="2"/>
      <c r="R55" s="19"/>
      <c r="S55" s="2"/>
      <c r="T55" s="2">
        <f>0</f>
        <v>0</v>
      </c>
      <c r="U55" s="2"/>
      <c r="V55" s="19"/>
      <c r="W55" s="2"/>
      <c r="X55" s="2">
        <f t="shared" si="2"/>
        <v>-48452.91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"4201", " - ", "SALES RETURN TAXABLE-NEW TEXT")</f>
        <v xml:space="preserve">          4201 - SALES RETURN TAXABLE-NEW TEXT</v>
      </c>
      <c r="C56" s="11"/>
      <c r="D56" s="2">
        <f t="shared" ref="D56:D67" si="11">0</f>
        <v>0</v>
      </c>
      <c r="E56" s="2"/>
      <c r="F56" s="19"/>
      <c r="G56" s="2"/>
      <c r="H56" s="2">
        <f>-13393.2</f>
        <v>-13393.2</v>
      </c>
      <c r="I56" s="2"/>
      <c r="J56" s="19"/>
      <c r="K56" s="2"/>
      <c r="L56" s="2">
        <f t="shared" si="0"/>
        <v>13393.2</v>
      </c>
      <c r="M56" s="2"/>
      <c r="N56" s="19">
        <f t="shared" si="1"/>
        <v>-1</v>
      </c>
      <c r="O56" s="11"/>
      <c r="P56" s="2">
        <f t="shared" ref="P56:P67" si="12">0</f>
        <v>0</v>
      </c>
      <c r="Q56" s="2"/>
      <c r="R56" s="19"/>
      <c r="S56" s="2"/>
      <c r="T56" s="2">
        <f>-32248.99</f>
        <v>-32248.99</v>
      </c>
      <c r="U56" s="2"/>
      <c r="V56" s="19"/>
      <c r="W56" s="2"/>
      <c r="X56" s="2">
        <f t="shared" si="2"/>
        <v>32248.99</v>
      </c>
      <c r="Y56" s="2"/>
      <c r="Z56" s="19">
        <f t="shared" si="3"/>
        <v>-1</v>
      </c>
    </row>
    <row r="57" spans="1:26" s="24" customFormat="1" hidden="1" outlineLevel="1" x14ac:dyDescent="0.25">
      <c r="A57" s="44"/>
      <c r="B57" s="11" t="str">
        <f>CONCATENATE("          ", "4202", " - ", "SALES RETURN TAXABLE-USED TEXT")</f>
        <v xml:space="preserve">          4202 - SALES RETURN TAXABLE-USED TEXT</v>
      </c>
      <c r="C57" s="11"/>
      <c r="D57" s="2">
        <f t="shared" si="11"/>
        <v>0</v>
      </c>
      <c r="E57" s="2"/>
      <c r="F57" s="19"/>
      <c r="G57" s="2"/>
      <c r="H57" s="2">
        <f>-1345.2</f>
        <v>-1345.2</v>
      </c>
      <c r="I57" s="2"/>
      <c r="J57" s="19"/>
      <c r="K57" s="2"/>
      <c r="L57" s="2">
        <f t="shared" si="0"/>
        <v>1345.2</v>
      </c>
      <c r="M57" s="2"/>
      <c r="N57" s="19">
        <f t="shared" si="1"/>
        <v>-1</v>
      </c>
      <c r="O57" s="11"/>
      <c r="P57" s="2">
        <f t="shared" si="12"/>
        <v>0</v>
      </c>
      <c r="Q57" s="2"/>
      <c r="R57" s="19"/>
      <c r="S57" s="2"/>
      <c r="T57" s="2">
        <f>-10392.95</f>
        <v>-10392.950000000001</v>
      </c>
      <c r="U57" s="2"/>
      <c r="V57" s="19"/>
      <c r="W57" s="2"/>
      <c r="X57" s="2">
        <f t="shared" si="2"/>
        <v>10392.950000000001</v>
      </c>
      <c r="Y57" s="2"/>
      <c r="Z57" s="19">
        <f t="shared" si="3"/>
        <v>-1</v>
      </c>
    </row>
    <row r="58" spans="1:26" s="24" customFormat="1" hidden="1" outlineLevel="1" x14ac:dyDescent="0.25">
      <c r="A58" s="44"/>
      <c r="B58" s="11" t="str">
        <f>CONCATENATE("          ", "4204", " - ", "SALES RETURN TAXABLE-DIGITAL T")</f>
        <v xml:space="preserve">          4204 - SALES RETURN TAXABLE-DIGITAL T</v>
      </c>
      <c r="C58" s="11"/>
      <c r="D58" s="2">
        <f t="shared" si="11"/>
        <v>0</v>
      </c>
      <c r="E58" s="2"/>
      <c r="F58" s="19"/>
      <c r="G58" s="2"/>
      <c r="H58" s="2">
        <f>-105.87</f>
        <v>-105.87</v>
      </c>
      <c r="I58" s="2"/>
      <c r="J58" s="19"/>
      <c r="K58" s="2"/>
      <c r="L58" s="2">
        <f t="shared" si="0"/>
        <v>105.87</v>
      </c>
      <c r="M58" s="2"/>
      <c r="N58" s="19">
        <f t="shared" si="1"/>
        <v>-1</v>
      </c>
      <c r="O58" s="11"/>
      <c r="P58" s="2">
        <f t="shared" si="12"/>
        <v>0</v>
      </c>
      <c r="Q58" s="2"/>
      <c r="R58" s="19"/>
      <c r="S58" s="2"/>
      <c r="T58" s="2">
        <f>-1246.95</f>
        <v>-1246.95</v>
      </c>
      <c r="U58" s="2"/>
      <c r="V58" s="19"/>
      <c r="W58" s="2"/>
      <c r="X58" s="2">
        <f t="shared" si="2"/>
        <v>1246.95</v>
      </c>
      <c r="Y58" s="2"/>
      <c r="Z58" s="19">
        <f t="shared" si="3"/>
        <v>-1</v>
      </c>
    </row>
    <row r="59" spans="1:26" s="24" customFormat="1" hidden="1" outlineLevel="1" x14ac:dyDescent="0.25">
      <c r="A59" s="44"/>
      <c r="B59" s="11" t="str">
        <f>CONCATENATE("          ", "4226", " - ", "SALES RETURN TAXABLE-WRITING I")</f>
        <v xml:space="preserve">          4226 - SALES RETURN TAXABLE-WRITING I</v>
      </c>
      <c r="C59" s="11"/>
      <c r="D59" s="2">
        <f t="shared" si="11"/>
        <v>0</v>
      </c>
      <c r="E59" s="2"/>
      <c r="F59" s="19"/>
      <c r="G59" s="2"/>
      <c r="H59" s="2">
        <f>-22.49</f>
        <v>-22.49</v>
      </c>
      <c r="I59" s="2"/>
      <c r="J59" s="19"/>
      <c r="K59" s="2"/>
      <c r="L59" s="2">
        <f t="shared" si="0"/>
        <v>22.49</v>
      </c>
      <c r="M59" s="2"/>
      <c r="N59" s="19">
        <f t="shared" si="1"/>
        <v>-1</v>
      </c>
      <c r="O59" s="11"/>
      <c r="P59" s="2">
        <f t="shared" si="12"/>
        <v>0</v>
      </c>
      <c r="Q59" s="2"/>
      <c r="R59" s="19"/>
      <c r="S59" s="2"/>
      <c r="T59" s="2">
        <f>-28.87</f>
        <v>-28.87</v>
      </c>
      <c r="U59" s="2"/>
      <c r="V59" s="19"/>
      <c r="W59" s="2"/>
      <c r="X59" s="2">
        <f t="shared" si="2"/>
        <v>28.87</v>
      </c>
      <c r="Y59" s="2"/>
      <c r="Z59" s="19">
        <f t="shared" si="3"/>
        <v>-1</v>
      </c>
    </row>
    <row r="60" spans="1:26" s="24" customFormat="1" hidden="1" outlineLevel="1" x14ac:dyDescent="0.25">
      <c r="A60" s="44"/>
      <c r="B60" s="11" t="str">
        <f>CONCATENATE("          ", "4227", " - ", "SALES RETURN TAXABLE-SCHOOL SU")</f>
        <v xml:space="preserve">          4227 - SALES RETURN TAXABLE-SCHOOL SU</v>
      </c>
      <c r="C60" s="11"/>
      <c r="D60" s="2">
        <f t="shared" si="11"/>
        <v>0</v>
      </c>
      <c r="E60" s="2"/>
      <c r="F60" s="19"/>
      <c r="G60" s="2"/>
      <c r="H60" s="2">
        <f>-152.29</f>
        <v>-152.29</v>
      </c>
      <c r="I60" s="2"/>
      <c r="J60" s="19"/>
      <c r="K60" s="2"/>
      <c r="L60" s="2">
        <f t="shared" si="0"/>
        <v>152.29</v>
      </c>
      <c r="M60" s="2"/>
      <c r="N60" s="19">
        <f t="shared" si="1"/>
        <v>-1</v>
      </c>
      <c r="O60" s="11"/>
      <c r="P60" s="2">
        <f t="shared" si="12"/>
        <v>0</v>
      </c>
      <c r="Q60" s="2"/>
      <c r="R60" s="19"/>
      <c r="S60" s="2"/>
      <c r="T60" s="2">
        <f>-568.67</f>
        <v>-568.66999999999996</v>
      </c>
      <c r="U60" s="2"/>
      <c r="V60" s="19"/>
      <c r="W60" s="2"/>
      <c r="X60" s="2">
        <f t="shared" si="2"/>
        <v>568.66999999999996</v>
      </c>
      <c r="Y60" s="2"/>
      <c r="Z60" s="19">
        <f t="shared" si="3"/>
        <v>-1</v>
      </c>
    </row>
    <row r="61" spans="1:26" s="24" customFormat="1" hidden="1" outlineLevel="1" x14ac:dyDescent="0.25">
      <c r="A61" s="44"/>
      <c r="B61" s="11" t="str">
        <f>CONCATENATE("          ", "4228", " - ", "SALES RETURN TAXABLE-ART/TECH")</f>
        <v xml:space="preserve">          4228 - SALES RETURN TAXABLE-ART/TECH</v>
      </c>
      <c r="C61" s="11"/>
      <c r="D61" s="2">
        <f t="shared" si="11"/>
        <v>0</v>
      </c>
      <c r="E61" s="2"/>
      <c r="F61" s="19"/>
      <c r="G61" s="2"/>
      <c r="H61" s="2">
        <f>-57.76</f>
        <v>-57.76</v>
      </c>
      <c r="I61" s="2"/>
      <c r="J61" s="19"/>
      <c r="K61" s="2"/>
      <c r="L61" s="2">
        <f t="shared" si="0"/>
        <v>57.76</v>
      </c>
      <c r="M61" s="2"/>
      <c r="N61" s="19">
        <f t="shared" si="1"/>
        <v>-1</v>
      </c>
      <c r="O61" s="11"/>
      <c r="P61" s="2">
        <f t="shared" si="12"/>
        <v>0</v>
      </c>
      <c r="Q61" s="2"/>
      <c r="R61" s="19"/>
      <c r="S61" s="2"/>
      <c r="T61" s="2">
        <f>-222.2</f>
        <v>-222.2</v>
      </c>
      <c r="U61" s="2"/>
      <c r="V61" s="19"/>
      <c r="W61" s="2"/>
      <c r="X61" s="2">
        <f t="shared" si="2"/>
        <v>222.2</v>
      </c>
      <c r="Y61" s="2"/>
      <c r="Z61" s="19">
        <f t="shared" si="3"/>
        <v>-1</v>
      </c>
    </row>
    <row r="62" spans="1:26" s="24" customFormat="1" hidden="1" outlineLevel="1" x14ac:dyDescent="0.25">
      <c r="A62" s="44"/>
      <c r="B62" s="11" t="str">
        <f>CONCATENATE("          ", "4240", " - ", "SALES RETURN TAXABLE-LOGO CLOT")</f>
        <v xml:space="preserve">          4240 - SALES RETURN TAXABLE-LOGO CLOT</v>
      </c>
      <c r="C62" s="11"/>
      <c r="D62" s="2">
        <f t="shared" si="11"/>
        <v>0</v>
      </c>
      <c r="E62" s="2"/>
      <c r="F62" s="19"/>
      <c r="G62" s="2"/>
      <c r="H62" s="2">
        <f>-3453.14</f>
        <v>-3453.14</v>
      </c>
      <c r="I62" s="2"/>
      <c r="J62" s="19"/>
      <c r="K62" s="2"/>
      <c r="L62" s="2">
        <f t="shared" si="0"/>
        <v>3453.14</v>
      </c>
      <c r="M62" s="2"/>
      <c r="N62" s="19">
        <f t="shared" si="1"/>
        <v>-1</v>
      </c>
      <c r="O62" s="11"/>
      <c r="P62" s="2">
        <f t="shared" si="12"/>
        <v>0</v>
      </c>
      <c r="Q62" s="2"/>
      <c r="R62" s="19"/>
      <c r="S62" s="2"/>
      <c r="T62" s="2">
        <f>-11609.96</f>
        <v>-11609.96</v>
      </c>
      <c r="U62" s="2"/>
      <c r="V62" s="19"/>
      <c r="W62" s="2"/>
      <c r="X62" s="2">
        <f t="shared" si="2"/>
        <v>11609.96</v>
      </c>
      <c r="Y62" s="2"/>
      <c r="Z62" s="19">
        <f t="shared" si="3"/>
        <v>-1</v>
      </c>
    </row>
    <row r="63" spans="1:26" s="24" customFormat="1" hidden="1" outlineLevel="1" x14ac:dyDescent="0.25">
      <c r="A63" s="44"/>
      <c r="B63" s="11" t="str">
        <f>CONCATENATE("          ", "4241", " - ", "SALES RETURN TAXABLE-LOGO GIFT")</f>
        <v xml:space="preserve">          4241 - SALES RETURN TAXABLE-LOGO GIFT</v>
      </c>
      <c r="C63" s="11"/>
      <c r="D63" s="2">
        <f t="shared" si="11"/>
        <v>0</v>
      </c>
      <c r="E63" s="2"/>
      <c r="F63" s="19"/>
      <c r="G63" s="2"/>
      <c r="H63" s="2">
        <f>-988.92</f>
        <v>-988.92</v>
      </c>
      <c r="I63" s="2"/>
      <c r="J63" s="19"/>
      <c r="K63" s="2"/>
      <c r="L63" s="2">
        <f t="shared" si="0"/>
        <v>988.92</v>
      </c>
      <c r="M63" s="2"/>
      <c r="N63" s="19">
        <f t="shared" si="1"/>
        <v>-1</v>
      </c>
      <c r="O63" s="11"/>
      <c r="P63" s="2">
        <f t="shared" si="12"/>
        <v>0</v>
      </c>
      <c r="Q63" s="2"/>
      <c r="R63" s="19"/>
      <c r="S63" s="2"/>
      <c r="T63" s="2">
        <f>-2317.11</f>
        <v>-2317.11</v>
      </c>
      <c r="U63" s="2"/>
      <c r="V63" s="19"/>
      <c r="W63" s="2"/>
      <c r="X63" s="2">
        <f t="shared" si="2"/>
        <v>2317.11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"4242", " - ", "SALES RETURN TAXABLE-EVERYDAY")</f>
        <v xml:space="preserve">          4242 - SALES RETURN TAXABLE-EVERYDAY</v>
      </c>
      <c r="C64" s="11"/>
      <c r="D64" s="2">
        <f t="shared" si="11"/>
        <v>0</v>
      </c>
      <c r="E64" s="2"/>
      <c r="F64" s="19"/>
      <c r="G64" s="2"/>
      <c r="H64" s="2">
        <f>-405.07</f>
        <v>-405.07</v>
      </c>
      <c r="I64" s="2"/>
      <c r="J64" s="19"/>
      <c r="K64" s="2"/>
      <c r="L64" s="2">
        <f t="shared" si="0"/>
        <v>405.07</v>
      </c>
      <c r="M64" s="2"/>
      <c r="N64" s="19">
        <f t="shared" si="1"/>
        <v>-1</v>
      </c>
      <c r="O64" s="11"/>
      <c r="P64" s="2">
        <f t="shared" si="12"/>
        <v>0</v>
      </c>
      <c r="Q64" s="2"/>
      <c r="R64" s="19"/>
      <c r="S64" s="2"/>
      <c r="T64" s="2">
        <f>-1054.56</f>
        <v>-1054.56</v>
      </c>
      <c r="U64" s="2"/>
      <c r="V64" s="19"/>
      <c r="W64" s="2"/>
      <c r="X64" s="2">
        <f t="shared" si="2"/>
        <v>1054.56</v>
      </c>
      <c r="Y64" s="2"/>
      <c r="Z64" s="19">
        <f t="shared" si="3"/>
        <v>-1</v>
      </c>
    </row>
    <row r="65" spans="1:26" s="24" customFormat="1" hidden="1" outlineLevel="1" x14ac:dyDescent="0.25">
      <c r="A65" s="44"/>
      <c r="B65" s="11" t="str">
        <f>CONCATENATE("          ", "4243", " - ", "SALES RETURN TAXABLE-CARDS")</f>
        <v xml:space="preserve">          4243 - SALES RETURN TAXABLE-CARDS</v>
      </c>
      <c r="C65" s="11"/>
      <c r="D65" s="2">
        <f t="shared" si="11"/>
        <v>0</v>
      </c>
      <c r="E65" s="2"/>
      <c r="F65" s="19"/>
      <c r="G65" s="2"/>
      <c r="H65" s="2">
        <f>-59.94</f>
        <v>-59.94</v>
      </c>
      <c r="I65" s="2"/>
      <c r="J65" s="19"/>
      <c r="K65" s="2"/>
      <c r="L65" s="2">
        <f t="shared" si="0"/>
        <v>59.94</v>
      </c>
      <c r="M65" s="2"/>
      <c r="N65" s="19">
        <f t="shared" si="1"/>
        <v>-1</v>
      </c>
      <c r="O65" s="11"/>
      <c r="P65" s="2">
        <f t="shared" si="12"/>
        <v>0</v>
      </c>
      <c r="Q65" s="2"/>
      <c r="R65" s="19"/>
      <c r="S65" s="2"/>
      <c r="T65" s="2">
        <f>-153.37</f>
        <v>-153.37</v>
      </c>
      <c r="U65" s="2"/>
      <c r="V65" s="19"/>
      <c r="W65" s="2"/>
      <c r="X65" s="2">
        <f t="shared" si="2"/>
        <v>153.37</v>
      </c>
      <c r="Y65" s="2"/>
      <c r="Z65" s="19">
        <f t="shared" si="3"/>
        <v>-1</v>
      </c>
    </row>
    <row r="66" spans="1:26" s="24" customFormat="1" hidden="1" outlineLevel="1" x14ac:dyDescent="0.25">
      <c r="A66" s="44"/>
      <c r="B66" s="11" t="str">
        <f>CONCATENATE("          ", "4244", " - ", "SALES RETURN TAXABLE-ACCESSORI")</f>
        <v xml:space="preserve">          4244 - SALES RETURN TAXABLE-ACCESSORI</v>
      </c>
      <c r="C66" s="11"/>
      <c r="D66" s="2">
        <f t="shared" si="11"/>
        <v>0</v>
      </c>
      <c r="E66" s="2"/>
      <c r="F66" s="19"/>
      <c r="G66" s="2"/>
      <c r="H66" s="2">
        <f>-60</f>
        <v>-60</v>
      </c>
      <c r="I66" s="2"/>
      <c r="J66" s="19"/>
      <c r="K66" s="2"/>
      <c r="L66" s="2">
        <f t="shared" si="0"/>
        <v>60</v>
      </c>
      <c r="M66" s="2"/>
      <c r="N66" s="19">
        <f t="shared" si="1"/>
        <v>-1</v>
      </c>
      <c r="O66" s="11"/>
      <c r="P66" s="2">
        <f t="shared" si="12"/>
        <v>0</v>
      </c>
      <c r="Q66" s="2"/>
      <c r="R66" s="19"/>
      <c r="S66" s="2"/>
      <c r="T66" s="2">
        <f>-410.99</f>
        <v>-410.99</v>
      </c>
      <c r="U66" s="2"/>
      <c r="V66" s="19"/>
      <c r="W66" s="2"/>
      <c r="X66" s="2">
        <f t="shared" si="2"/>
        <v>410.99</v>
      </c>
      <c r="Y66" s="2"/>
      <c r="Z66" s="19">
        <f t="shared" si="3"/>
        <v>-1</v>
      </c>
    </row>
    <row r="67" spans="1:26" s="24" customFormat="1" hidden="1" outlineLevel="1" x14ac:dyDescent="0.25">
      <c r="A67" s="44"/>
      <c r="B67" s="11" t="str">
        <f>CONCATENATE("          ", "4245", " - ", "SALES RETURN TAXABLE-SPECIAL O")</f>
        <v xml:space="preserve">          4245 - SALES RETURN TAXABLE-SPECIAL O</v>
      </c>
      <c r="C67" s="11"/>
      <c r="D67" s="2">
        <f t="shared" si="11"/>
        <v>0</v>
      </c>
      <c r="E67" s="2"/>
      <c r="F67" s="19"/>
      <c r="G67" s="2"/>
      <c r="H67" s="2">
        <f>-3.99</f>
        <v>-3.99</v>
      </c>
      <c r="I67" s="2"/>
      <c r="J67" s="19"/>
      <c r="K67" s="2"/>
      <c r="L67" s="2">
        <f t="shared" si="0"/>
        <v>3.99</v>
      </c>
      <c r="M67" s="2"/>
      <c r="N67" s="19">
        <f t="shared" si="1"/>
        <v>-1</v>
      </c>
      <c r="O67" s="11"/>
      <c r="P67" s="2">
        <f t="shared" si="12"/>
        <v>0</v>
      </c>
      <c r="Q67" s="2"/>
      <c r="R67" s="19"/>
      <c r="S67" s="2"/>
      <c r="T67" s="2">
        <f>-1182.95</f>
        <v>-1182.95</v>
      </c>
      <c r="U67" s="2"/>
      <c r="V67" s="19"/>
      <c r="W67" s="2"/>
      <c r="X67" s="2">
        <f t="shared" si="2"/>
        <v>1182.95</v>
      </c>
      <c r="Y67" s="2"/>
      <c r="Z67" s="19">
        <f t="shared" si="3"/>
        <v>-1</v>
      </c>
    </row>
    <row r="68" spans="1:26" s="24" customFormat="1" hidden="1" outlineLevel="1" x14ac:dyDescent="0.25">
      <c r="A68" s="44"/>
      <c r="B68" s="11" t="str">
        <f>CONCATENATE("          ", "4300", " - ", "NON-TAX RETURNS")</f>
        <v xml:space="preserve">          4300 - NON-TAX RETURNS</v>
      </c>
      <c r="C68" s="11"/>
      <c r="D68" s="2">
        <f>-2715.58</f>
        <v>-2715.58</v>
      </c>
      <c r="E68" s="2"/>
      <c r="F68" s="19"/>
      <c r="G68" s="2"/>
      <c r="H68" s="2">
        <f>0</f>
        <v>0</v>
      </c>
      <c r="I68" s="2"/>
      <c r="J68" s="19"/>
      <c r="K68" s="2"/>
      <c r="L68" s="2">
        <f t="shared" si="0"/>
        <v>-2715.58</v>
      </c>
      <c r="M68" s="2"/>
      <c r="N68" s="19">
        <f t="shared" si="1"/>
        <v>0</v>
      </c>
      <c r="O68" s="11"/>
      <c r="P68" s="2">
        <f>-20106.24</f>
        <v>-20106.240000000002</v>
      </c>
      <c r="Q68" s="2"/>
      <c r="R68" s="19"/>
      <c r="S68" s="2"/>
      <c r="T68" s="2">
        <f>0</f>
        <v>0</v>
      </c>
      <c r="U68" s="2"/>
      <c r="V68" s="19"/>
      <c r="W68" s="2"/>
      <c r="X68" s="2">
        <f t="shared" si="2"/>
        <v>-20106.240000000002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"4301", " - ", "SALES RETURN NON TAXABLE-NEW T")</f>
        <v xml:space="preserve">          4301 - SALES RETURN NON TAXABLE-NEW T</v>
      </c>
      <c r="C69" s="11"/>
      <c r="D69" s="2">
        <f t="shared" ref="D69:D74" si="13">0</f>
        <v>0</v>
      </c>
      <c r="E69" s="2"/>
      <c r="F69" s="19"/>
      <c r="G69" s="2"/>
      <c r="H69" s="2">
        <f>-1820.43</f>
        <v>-1820.43</v>
      </c>
      <c r="I69" s="2"/>
      <c r="J69" s="19"/>
      <c r="K69" s="2"/>
      <c r="L69" s="2">
        <f t="shared" si="0"/>
        <v>1820.43</v>
      </c>
      <c r="M69" s="2"/>
      <c r="N69" s="19">
        <f t="shared" si="1"/>
        <v>-1</v>
      </c>
      <c r="O69" s="11"/>
      <c r="P69" s="2">
        <f t="shared" ref="P69:P74" si="14">0</f>
        <v>0</v>
      </c>
      <c r="Q69" s="2"/>
      <c r="R69" s="19"/>
      <c r="S69" s="2"/>
      <c r="T69" s="2">
        <f>-1840.68</f>
        <v>-1840.68</v>
      </c>
      <c r="U69" s="2"/>
      <c r="V69" s="19"/>
      <c r="W69" s="2"/>
      <c r="X69" s="2">
        <f t="shared" si="2"/>
        <v>1840.68</v>
      </c>
      <c r="Y69" s="2"/>
      <c r="Z69" s="19">
        <f t="shared" si="3"/>
        <v>-1</v>
      </c>
    </row>
    <row r="70" spans="1:26" s="24" customFormat="1" hidden="1" outlineLevel="1" x14ac:dyDescent="0.25">
      <c r="A70" s="44"/>
      <c r="B70" s="11" t="str">
        <f>CONCATENATE("          ", "4302", " - ", "SALES RETURN NON TAXABLE-TEXT")</f>
        <v xml:space="preserve">          4302 - SALES RETURN NON TAXABLE-TEXT</v>
      </c>
      <c r="C70" s="11"/>
      <c r="D70" s="2">
        <f t="shared" si="13"/>
        <v>0</v>
      </c>
      <c r="E70" s="2"/>
      <c r="F70" s="19"/>
      <c r="G70" s="2"/>
      <c r="H70" s="2">
        <f>-737.24</f>
        <v>-737.24</v>
      </c>
      <c r="I70" s="2"/>
      <c r="J70" s="19"/>
      <c r="K70" s="2"/>
      <c r="L70" s="2">
        <f t="shared" si="0"/>
        <v>737.24</v>
      </c>
      <c r="M70" s="2"/>
      <c r="N70" s="19">
        <f t="shared" si="1"/>
        <v>-1</v>
      </c>
      <c r="O70" s="11"/>
      <c r="P70" s="2">
        <f t="shared" si="14"/>
        <v>0</v>
      </c>
      <c r="Q70" s="2"/>
      <c r="R70" s="19"/>
      <c r="S70" s="2"/>
      <c r="T70" s="2">
        <f>-1147.08</f>
        <v>-1147.08</v>
      </c>
      <c r="U70" s="2"/>
      <c r="V70" s="19"/>
      <c r="W70" s="2"/>
      <c r="X70" s="2">
        <f t="shared" si="2"/>
        <v>1147.08</v>
      </c>
      <c r="Y70" s="2"/>
      <c r="Z70" s="19">
        <f t="shared" si="3"/>
        <v>-1</v>
      </c>
    </row>
    <row r="71" spans="1:26" s="24" customFormat="1" hidden="1" outlineLevel="1" x14ac:dyDescent="0.25">
      <c r="A71" s="44"/>
      <c r="B71" s="11" t="str">
        <f>CONCATENATE("          ", "4304", " - ", "SALES RETURN NON TAXABLE-DIGIT")</f>
        <v xml:space="preserve">          4304 - SALES RETURN NON TAXABLE-DIGIT</v>
      </c>
      <c r="C71" s="11"/>
      <c r="D71" s="2">
        <f t="shared" si="13"/>
        <v>0</v>
      </c>
      <c r="E71" s="2"/>
      <c r="F71" s="19"/>
      <c r="G71" s="2"/>
      <c r="H71" s="2">
        <f>-7456.63</f>
        <v>-7456.63</v>
      </c>
      <c r="I71" s="2"/>
      <c r="J71" s="19"/>
      <c r="K71" s="2"/>
      <c r="L71" s="2">
        <f t="shared" si="0"/>
        <v>7456.63</v>
      </c>
      <c r="M71" s="2"/>
      <c r="N71" s="19">
        <f t="shared" si="1"/>
        <v>-1</v>
      </c>
      <c r="O71" s="11"/>
      <c r="P71" s="2">
        <f t="shared" si="14"/>
        <v>0</v>
      </c>
      <c r="Q71" s="2"/>
      <c r="R71" s="19"/>
      <c r="S71" s="2"/>
      <c r="T71" s="2">
        <f>-13409.36</f>
        <v>-13409.36</v>
      </c>
      <c r="U71" s="2"/>
      <c r="V71" s="19"/>
      <c r="W71" s="2"/>
      <c r="X71" s="2">
        <f t="shared" si="2"/>
        <v>13409.36</v>
      </c>
      <c r="Y71" s="2"/>
      <c r="Z71" s="19">
        <f t="shared" si="3"/>
        <v>-1</v>
      </c>
    </row>
    <row r="72" spans="1:26" s="24" customFormat="1" hidden="1" outlineLevel="1" x14ac:dyDescent="0.25">
      <c r="A72" s="44"/>
      <c r="B72" s="11" t="str">
        <f>CONCATENATE("          ", "4340", " - ", "SALES RETURN NON TAXABLE-LOGO")</f>
        <v xml:space="preserve">          4340 - SALES RETURN NON TAXABLE-LOGO</v>
      </c>
      <c r="C72" s="11"/>
      <c r="D72" s="2">
        <f t="shared" si="13"/>
        <v>0</v>
      </c>
      <c r="E72" s="2"/>
      <c r="F72" s="19"/>
      <c r="G72" s="2"/>
      <c r="H72" s="2">
        <f>-36.9</f>
        <v>-36.9</v>
      </c>
      <c r="I72" s="2"/>
      <c r="J72" s="19"/>
      <c r="K72" s="2"/>
      <c r="L72" s="2">
        <f t="shared" si="0"/>
        <v>36.9</v>
      </c>
      <c r="M72" s="2"/>
      <c r="N72" s="19">
        <f t="shared" si="1"/>
        <v>-1</v>
      </c>
      <c r="O72" s="11"/>
      <c r="P72" s="2">
        <f t="shared" si="14"/>
        <v>0</v>
      </c>
      <c r="Q72" s="2"/>
      <c r="R72" s="19"/>
      <c r="S72" s="2"/>
      <c r="T72" s="2">
        <f>-541.04</f>
        <v>-541.04</v>
      </c>
      <c r="U72" s="2"/>
      <c r="V72" s="19"/>
      <c r="W72" s="2"/>
      <c r="X72" s="2">
        <f t="shared" si="2"/>
        <v>541.04</v>
      </c>
      <c r="Y72" s="2"/>
      <c r="Z72" s="19">
        <f t="shared" si="3"/>
        <v>-1</v>
      </c>
    </row>
    <row r="73" spans="1:26" s="24" customFormat="1" hidden="1" outlineLevel="1" x14ac:dyDescent="0.25">
      <c r="A73" s="44"/>
      <c r="B73" s="11" t="str">
        <f>CONCATENATE("          ", "4341", " - ", "SALES RETURN NON TAXABLE-LOGO")</f>
        <v xml:space="preserve">          4341 - SALES RETURN NON TAXABLE-LOGO</v>
      </c>
      <c r="C73" s="11"/>
      <c r="D73" s="2">
        <f t="shared" si="13"/>
        <v>0</v>
      </c>
      <c r="E73" s="2"/>
      <c r="F73" s="19"/>
      <c r="G73" s="2"/>
      <c r="H73" s="2">
        <f>-129.95</f>
        <v>-129.94999999999999</v>
      </c>
      <c r="I73" s="2"/>
      <c r="J73" s="19"/>
      <c r="K73" s="2"/>
      <c r="L73" s="2">
        <f t="shared" si="0"/>
        <v>129.94999999999999</v>
      </c>
      <c r="M73" s="2"/>
      <c r="N73" s="19">
        <f t="shared" si="1"/>
        <v>-1</v>
      </c>
      <c r="O73" s="11"/>
      <c r="P73" s="2">
        <f t="shared" si="14"/>
        <v>0</v>
      </c>
      <c r="Q73" s="2"/>
      <c r="R73" s="19"/>
      <c r="S73" s="2"/>
      <c r="T73" s="2">
        <f>-146.9</f>
        <v>-146.9</v>
      </c>
      <c r="U73" s="2"/>
      <c r="V73" s="19"/>
      <c r="W73" s="2"/>
      <c r="X73" s="2">
        <f t="shared" si="2"/>
        <v>146.9</v>
      </c>
      <c r="Y73" s="2"/>
      <c r="Z73" s="19">
        <f t="shared" si="3"/>
        <v>-1</v>
      </c>
    </row>
    <row r="74" spans="1:26" s="24" customFormat="1" hidden="1" outlineLevel="1" x14ac:dyDescent="0.25">
      <c r="A74" s="44"/>
      <c r="B74" s="11" t="str">
        <f>CONCATENATE("          ", "4342", " - ", "SALES RETURN NON TAXABLE-EVERY")</f>
        <v xml:space="preserve">          4342 - SALES RETURN NON TAXABLE-EVERY</v>
      </c>
      <c r="C74" s="11"/>
      <c r="D74" s="2">
        <f t="shared" si="13"/>
        <v>0</v>
      </c>
      <c r="E74" s="2"/>
      <c r="F74" s="19"/>
      <c r="G74" s="2"/>
      <c r="H74" s="2">
        <f>-24.95</f>
        <v>-24.95</v>
      </c>
      <c r="I74" s="2"/>
      <c r="J74" s="19"/>
      <c r="K74" s="2"/>
      <c r="L74" s="2">
        <f t="shared" si="0"/>
        <v>24.95</v>
      </c>
      <c r="M74" s="2"/>
      <c r="N74" s="19">
        <f t="shared" si="1"/>
        <v>-1</v>
      </c>
      <c r="O74" s="11"/>
      <c r="P74" s="2">
        <f t="shared" si="14"/>
        <v>0</v>
      </c>
      <c r="Q74" s="2"/>
      <c r="R74" s="19"/>
      <c r="S74" s="2"/>
      <c r="T74" s="2">
        <f>-118.7</f>
        <v>-118.7</v>
      </c>
      <c r="U74" s="2"/>
      <c r="V74" s="19"/>
      <c r="W74" s="2"/>
      <c r="X74" s="2">
        <f t="shared" si="2"/>
        <v>118.7</v>
      </c>
      <c r="Y74" s="2"/>
      <c r="Z74" s="19">
        <f t="shared" si="3"/>
        <v>-1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collapsed="1" x14ac:dyDescent="0.25">
      <c r="A76" s="10"/>
      <c r="B76" s="26" t="s">
        <v>256</v>
      </c>
      <c r="C76" s="10"/>
      <c r="D76" s="4">
        <f>SUM(OSRRefD16x_0)</f>
        <v>385312.29</v>
      </c>
      <c r="E76" s="4"/>
      <c r="F76" s="12">
        <f t="shared" ref="F76:F110" si="15">IF(D$12=0,0,D76/D$12)</f>
        <v>0.65927033882505848</v>
      </c>
      <c r="G76" s="4"/>
      <c r="H76" s="4">
        <f>SUM(OSRRefH16x_0)</f>
        <v>231141.1</v>
      </c>
      <c r="I76" s="4"/>
      <c r="J76" s="12">
        <f t="shared" ref="J76:J110" si="16">IF(H$12=0,0,H76/H$12)</f>
        <v>0.62615281637260733</v>
      </c>
      <c r="K76" s="4"/>
      <c r="L76" s="4">
        <f t="shared" ref="L76:L110" si="17">+D76-H76</f>
        <v>154171.18999999997</v>
      </c>
      <c r="M76" s="4"/>
      <c r="N76" s="12">
        <f t="shared" ref="N76:N110" si="18">IF(H76=0,0,L76/H76)</f>
        <v>0.66700033010139681</v>
      </c>
      <c r="O76" s="10"/>
      <c r="P76" s="4">
        <f>SUM(OSRRefP16x_0)</f>
        <v>1505071.7000000002</v>
      </c>
      <c r="Q76" s="4"/>
      <c r="R76" s="12">
        <f t="shared" ref="R76:R110" si="19">IF(P$12=0,0,P76/P$12)</f>
        <v>0.64936889032039524</v>
      </c>
      <c r="S76" s="4"/>
      <c r="T76" s="4">
        <f>SUM(OSRRefT16x_0)</f>
        <v>1453959.4300000002</v>
      </c>
      <c r="U76" s="4"/>
      <c r="V76" s="12">
        <f t="shared" ref="V76:V110" si="20">IF(T$12=0,0,T76/T$12)</f>
        <v>0.6627278430396798</v>
      </c>
      <c r="W76" s="4"/>
      <c r="X76" s="4">
        <f t="shared" ref="X76:X110" si="21">+P76-T76</f>
        <v>51112.270000000019</v>
      </c>
      <c r="Y76" s="4"/>
      <c r="Z76" s="12">
        <f t="shared" ref="Z76:Z110" si="22">IF(T76=0,0,X76/T76)</f>
        <v>3.5153848825066607E-2</v>
      </c>
    </row>
    <row r="77" spans="1:26" s="24" customFormat="1" hidden="1" outlineLevel="1" x14ac:dyDescent="0.25">
      <c r="A77" s="44"/>
      <c r="B77" s="11" t="str">
        <f>CONCATENATE("          ", "5000", " - ", "PURCHASES @ COST")</f>
        <v xml:space="preserve">          5000 - PURCHASES @ COST</v>
      </c>
      <c r="C77" s="11"/>
      <c r="D77" s="2">
        <v>726303.95</v>
      </c>
      <c r="E77" s="2"/>
      <c r="F77" s="19">
        <f t="shared" si="15"/>
        <v>1.2427079634715994</v>
      </c>
      <c r="G77" s="2"/>
      <c r="H77" s="2">
        <v>0</v>
      </c>
      <c r="I77" s="2"/>
      <c r="J77" s="19">
        <f t="shared" si="16"/>
        <v>0</v>
      </c>
      <c r="K77" s="2"/>
      <c r="L77" s="2">
        <f t="shared" si="17"/>
        <v>726303.95</v>
      </c>
      <c r="M77" s="2"/>
      <c r="N77" s="19">
        <f t="shared" si="18"/>
        <v>0</v>
      </c>
      <c r="O77" s="11"/>
      <c r="P77" s="2">
        <v>1571258.59</v>
      </c>
      <c r="Q77" s="2"/>
      <c r="R77" s="19">
        <f t="shared" si="19"/>
        <v>0.67792547490906163</v>
      </c>
      <c r="S77" s="2"/>
      <c r="T77" s="2">
        <v>0</v>
      </c>
      <c r="U77" s="2"/>
      <c r="V77" s="19">
        <f t="shared" si="20"/>
        <v>0</v>
      </c>
      <c r="W77" s="2"/>
      <c r="X77" s="2">
        <f t="shared" si="21"/>
        <v>1571258.59</v>
      </c>
      <c r="Y77" s="2"/>
      <c r="Z77" s="19">
        <f t="shared" si="22"/>
        <v>0</v>
      </c>
    </row>
    <row r="78" spans="1:26" s="24" customFormat="1" hidden="1" outlineLevel="1" x14ac:dyDescent="0.25">
      <c r="A78" s="44"/>
      <c r="B78" s="11" t="str">
        <f>CONCATENATE("          ", "5001", " - ", "PURCHASES @ COST-NEW TEXT")</f>
        <v xml:space="preserve">          5001 - PURCHASES @ COST-NEW TEXT</v>
      </c>
      <c r="C78" s="11"/>
      <c r="D78" s="2">
        <v>0</v>
      </c>
      <c r="E78" s="2"/>
      <c r="F78" s="19">
        <f t="shared" si="15"/>
        <v>0</v>
      </c>
      <c r="G78" s="2"/>
      <c r="H78" s="2">
        <v>602088.99</v>
      </c>
      <c r="I78" s="2"/>
      <c r="J78" s="19">
        <f t="shared" si="16"/>
        <v>1.6310371318447416</v>
      </c>
      <c r="K78" s="2"/>
      <c r="L78" s="2">
        <f t="shared" si="17"/>
        <v>-602088.99</v>
      </c>
      <c r="M78" s="2"/>
      <c r="N78" s="19">
        <f t="shared" si="18"/>
        <v>-1</v>
      </c>
      <c r="O78" s="11"/>
      <c r="P78" s="2">
        <v>0</v>
      </c>
      <c r="Q78" s="2"/>
      <c r="R78" s="19">
        <f t="shared" si="19"/>
        <v>0</v>
      </c>
      <c r="S78" s="2"/>
      <c r="T78" s="2">
        <v>1293421.76</v>
      </c>
      <c r="U78" s="2"/>
      <c r="V78" s="19">
        <f t="shared" si="20"/>
        <v>0.58955332278108086</v>
      </c>
      <c r="W78" s="2"/>
      <c r="X78" s="2">
        <f t="shared" si="21"/>
        <v>-1293421.76</v>
      </c>
      <c r="Y78" s="2"/>
      <c r="Z78" s="19">
        <f t="shared" si="22"/>
        <v>-1</v>
      </c>
    </row>
    <row r="79" spans="1:26" s="24" customFormat="1" hidden="1" outlineLevel="1" x14ac:dyDescent="0.25">
      <c r="A79" s="44"/>
      <c r="B79" s="11" t="str">
        <f>CONCATENATE("          ", "5002", " - ", "PURCHASES @ COST-USED TEXT")</f>
        <v xml:space="preserve">          5002 - PURCHASES @ COST-USED TEXT</v>
      </c>
      <c r="C79" s="11"/>
      <c r="D79" s="2">
        <v>0</v>
      </c>
      <c r="E79" s="2"/>
      <c r="F79" s="19">
        <f t="shared" si="15"/>
        <v>0</v>
      </c>
      <c r="G79" s="2"/>
      <c r="H79" s="2">
        <v>108363.86</v>
      </c>
      <c r="I79" s="2"/>
      <c r="J79" s="19">
        <f t="shared" si="16"/>
        <v>0.29355374761133751</v>
      </c>
      <c r="K79" s="2"/>
      <c r="L79" s="2">
        <f t="shared" si="17"/>
        <v>-108363.86</v>
      </c>
      <c r="M79" s="2"/>
      <c r="N79" s="19">
        <f t="shared" si="18"/>
        <v>-1</v>
      </c>
      <c r="O79" s="11"/>
      <c r="P79" s="2">
        <v>0</v>
      </c>
      <c r="Q79" s="2"/>
      <c r="R79" s="19">
        <f t="shared" si="19"/>
        <v>0</v>
      </c>
      <c r="S79" s="2"/>
      <c r="T79" s="2">
        <v>296731.38</v>
      </c>
      <c r="U79" s="2"/>
      <c r="V79" s="19">
        <f t="shared" si="20"/>
        <v>0.13525284362961046</v>
      </c>
      <c r="W79" s="2"/>
      <c r="X79" s="2">
        <f t="shared" si="21"/>
        <v>-296731.38</v>
      </c>
      <c r="Y79" s="2"/>
      <c r="Z79" s="19">
        <f t="shared" si="22"/>
        <v>-1</v>
      </c>
    </row>
    <row r="80" spans="1:26" s="24" customFormat="1" hidden="1" outlineLevel="1" x14ac:dyDescent="0.25">
      <c r="A80" s="44"/>
      <c r="B80" s="11" t="str">
        <f>CONCATENATE("          ", "5003", " - ", "PURCHASES @ COST-RENTAL TEXT")</f>
        <v xml:space="preserve">          5003 - PURCHASES @ COST-RENTAL TEXT</v>
      </c>
      <c r="C80" s="11"/>
      <c r="D80" s="2"/>
      <c r="E80" s="2"/>
      <c r="F80" s="19">
        <f t="shared" si="15"/>
        <v>0</v>
      </c>
      <c r="G80" s="2"/>
      <c r="H80" s="2">
        <v>781.74</v>
      </c>
      <c r="I80" s="2"/>
      <c r="J80" s="19">
        <f t="shared" si="16"/>
        <v>2.1177051708723463E-3</v>
      </c>
      <c r="K80" s="2"/>
      <c r="L80" s="2">
        <f t="shared" si="17"/>
        <v>-781.74</v>
      </c>
      <c r="M80" s="2"/>
      <c r="N80" s="19">
        <f t="shared" si="18"/>
        <v>-1</v>
      </c>
      <c r="O80" s="11"/>
      <c r="P80" s="2"/>
      <c r="Q80" s="2"/>
      <c r="R80" s="19">
        <f t="shared" si="19"/>
        <v>0</v>
      </c>
      <c r="S80" s="2"/>
      <c r="T80" s="2">
        <v>-11086.1</v>
      </c>
      <c r="U80" s="2"/>
      <c r="V80" s="19">
        <f t="shared" si="20"/>
        <v>-5.053144530120895E-3</v>
      </c>
      <c r="W80" s="2"/>
      <c r="X80" s="2">
        <f t="shared" si="21"/>
        <v>11086.1</v>
      </c>
      <c r="Y80" s="2"/>
      <c r="Z80" s="19">
        <f t="shared" si="22"/>
        <v>-1</v>
      </c>
    </row>
    <row r="81" spans="1:26" s="24" customFormat="1" hidden="1" outlineLevel="1" x14ac:dyDescent="0.25">
      <c r="A81" s="44"/>
      <c r="B81" s="11" t="str">
        <f>CONCATENATE("          ", "5004", " - ", "PURCHASES @ COST-DIGITAL TEXT")</f>
        <v xml:space="preserve">          5004 - PURCHASES @ COST-DIGITAL TEXT</v>
      </c>
      <c r="C81" s="11"/>
      <c r="D81" s="2">
        <v>0</v>
      </c>
      <c r="E81" s="2"/>
      <c r="F81" s="19">
        <f t="shared" si="15"/>
        <v>0</v>
      </c>
      <c r="G81" s="2"/>
      <c r="H81" s="2">
        <v>60186.1</v>
      </c>
      <c r="I81" s="2"/>
      <c r="J81" s="19">
        <f t="shared" si="16"/>
        <v>0.16304195152434328</v>
      </c>
      <c r="K81" s="2"/>
      <c r="L81" s="2">
        <f t="shared" si="17"/>
        <v>-60186.1</v>
      </c>
      <c r="M81" s="2"/>
      <c r="N81" s="19">
        <f t="shared" si="18"/>
        <v>-1</v>
      </c>
      <c r="O81" s="11"/>
      <c r="P81" s="2">
        <v>0</v>
      </c>
      <c r="Q81" s="2"/>
      <c r="R81" s="19">
        <f t="shared" si="19"/>
        <v>0</v>
      </c>
      <c r="S81" s="2"/>
      <c r="T81" s="2">
        <v>182616.07</v>
      </c>
      <c r="U81" s="2"/>
      <c r="V81" s="19">
        <f t="shared" si="20"/>
        <v>8.3238054431465924E-2</v>
      </c>
      <c r="W81" s="2"/>
      <c r="X81" s="2">
        <f t="shared" si="21"/>
        <v>-182616.07</v>
      </c>
      <c r="Y81" s="2"/>
      <c r="Z81" s="19">
        <f t="shared" si="22"/>
        <v>-1</v>
      </c>
    </row>
    <row r="82" spans="1:26" s="24" customFormat="1" hidden="1" outlineLevel="1" x14ac:dyDescent="0.25">
      <c r="A82" s="44"/>
      <c r="B82" s="11" t="str">
        <f>CONCATENATE("          ", "5013", " - ", "PURCHASES @ COST-TRADE BOOKS")</f>
        <v xml:space="preserve">          5013 - PURCHASES @ COST-TRADE BOOKS</v>
      </c>
      <c r="C82" s="11"/>
      <c r="D82" s="2"/>
      <c r="E82" s="2"/>
      <c r="F82" s="19">
        <f t="shared" si="15"/>
        <v>0</v>
      </c>
      <c r="G82" s="2"/>
      <c r="H82" s="2">
        <v>-9.36</v>
      </c>
      <c r="I82" s="2"/>
      <c r="J82" s="19">
        <f t="shared" si="16"/>
        <v>-2.5355898891402715E-5</v>
      </c>
      <c r="K82" s="2"/>
      <c r="L82" s="2">
        <f t="shared" si="17"/>
        <v>9.36</v>
      </c>
      <c r="M82" s="2"/>
      <c r="N82" s="19">
        <f t="shared" si="18"/>
        <v>-1</v>
      </c>
      <c r="O82" s="11"/>
      <c r="P82" s="2"/>
      <c r="Q82" s="2"/>
      <c r="R82" s="19">
        <f t="shared" si="19"/>
        <v>0</v>
      </c>
      <c r="S82" s="2"/>
      <c r="T82" s="2">
        <v>99.18</v>
      </c>
      <c r="U82" s="2"/>
      <c r="V82" s="19">
        <f t="shared" si="20"/>
        <v>4.5207139976853028E-5</v>
      </c>
      <c r="W82" s="2"/>
      <c r="X82" s="2">
        <f t="shared" si="21"/>
        <v>-99.18</v>
      </c>
      <c r="Y82" s="2"/>
      <c r="Z82" s="19">
        <f t="shared" si="22"/>
        <v>-1</v>
      </c>
    </row>
    <row r="83" spans="1:26" s="24" customFormat="1" hidden="1" outlineLevel="1" x14ac:dyDescent="0.25">
      <c r="A83" s="44"/>
      <c r="B83" s="11" t="str">
        <f>CONCATENATE("          ", "5014", " - ", "PURCHASES @ COST-REMAINDERS")</f>
        <v xml:space="preserve">          5014 - PURCHASES @ COST-REMAINDERS</v>
      </c>
      <c r="C83" s="11"/>
      <c r="D83" s="2"/>
      <c r="E83" s="2"/>
      <c r="F83" s="19">
        <f t="shared" si="15"/>
        <v>0</v>
      </c>
      <c r="G83" s="2"/>
      <c r="H83" s="2"/>
      <c r="I83" s="2"/>
      <c r="J83" s="19">
        <f t="shared" si="16"/>
        <v>0</v>
      </c>
      <c r="K83" s="2"/>
      <c r="L83" s="2">
        <f t="shared" si="17"/>
        <v>0</v>
      </c>
      <c r="M83" s="2"/>
      <c r="N83" s="19">
        <f t="shared" si="18"/>
        <v>0</v>
      </c>
      <c r="O83" s="11"/>
      <c r="P83" s="2"/>
      <c r="Q83" s="2"/>
      <c r="R83" s="19">
        <f t="shared" si="19"/>
        <v>0</v>
      </c>
      <c r="S83" s="2"/>
      <c r="T83" s="2">
        <v>-12.51</v>
      </c>
      <c r="U83" s="2"/>
      <c r="V83" s="19">
        <f t="shared" si="20"/>
        <v>-5.7021710134143109E-6</v>
      </c>
      <c r="W83" s="2"/>
      <c r="X83" s="2">
        <f t="shared" si="21"/>
        <v>12.51</v>
      </c>
      <c r="Y83" s="2"/>
      <c r="Z83" s="19">
        <f t="shared" si="22"/>
        <v>-1</v>
      </c>
    </row>
    <row r="84" spans="1:26" s="24" customFormat="1" hidden="1" outlineLevel="1" x14ac:dyDescent="0.25">
      <c r="A84" s="44"/>
      <c r="B84" s="11" t="str">
        <f>CONCATENATE("          ", "5026", " - ", "PURCHASES @ COST-WRITING INSTR")</f>
        <v xml:space="preserve">          5026 - PURCHASES @ COST-WRITING INSTR</v>
      </c>
      <c r="C84" s="11"/>
      <c r="D84" s="2"/>
      <c r="E84" s="2"/>
      <c r="F84" s="19">
        <f t="shared" si="15"/>
        <v>0</v>
      </c>
      <c r="G84" s="2"/>
      <c r="H84" s="2"/>
      <c r="I84" s="2"/>
      <c r="J84" s="19">
        <f t="shared" si="16"/>
        <v>0</v>
      </c>
      <c r="K84" s="2"/>
      <c r="L84" s="2">
        <f t="shared" si="17"/>
        <v>0</v>
      </c>
      <c r="M84" s="2"/>
      <c r="N84" s="19">
        <f t="shared" si="18"/>
        <v>0</v>
      </c>
      <c r="O84" s="11"/>
      <c r="P84" s="2">
        <v>0</v>
      </c>
      <c r="Q84" s="2"/>
      <c r="R84" s="19">
        <f t="shared" si="19"/>
        <v>0</v>
      </c>
      <c r="S84" s="2"/>
      <c r="T84" s="2"/>
      <c r="U84" s="2"/>
      <c r="V84" s="19">
        <f t="shared" si="20"/>
        <v>0</v>
      </c>
      <c r="W84" s="2"/>
      <c r="X84" s="2">
        <f t="shared" si="21"/>
        <v>0</v>
      </c>
      <c r="Y84" s="2"/>
      <c r="Z84" s="19">
        <f t="shared" si="22"/>
        <v>0</v>
      </c>
    </row>
    <row r="85" spans="1:26" s="24" customFormat="1" hidden="1" outlineLevel="1" x14ac:dyDescent="0.25">
      <c r="A85" s="44"/>
      <c r="B85" s="11" t="str">
        <f>CONCATENATE("          ", "5027", " - ", "PURCHASES @ COST-SCHOOL SUPPLI")</f>
        <v xml:space="preserve">          5027 - PURCHASES @ COST-SCHOOL SUPPLI</v>
      </c>
      <c r="C85" s="11"/>
      <c r="D85" s="2">
        <v>0</v>
      </c>
      <c r="E85" s="2"/>
      <c r="F85" s="19">
        <f t="shared" si="15"/>
        <v>0</v>
      </c>
      <c r="G85" s="2"/>
      <c r="H85" s="2"/>
      <c r="I85" s="2"/>
      <c r="J85" s="19">
        <f t="shared" si="16"/>
        <v>0</v>
      </c>
      <c r="K85" s="2"/>
      <c r="L85" s="2">
        <f t="shared" si="17"/>
        <v>0</v>
      </c>
      <c r="M85" s="2"/>
      <c r="N85" s="19">
        <f t="shared" si="18"/>
        <v>0</v>
      </c>
      <c r="O85" s="11"/>
      <c r="P85" s="2">
        <v>0</v>
      </c>
      <c r="Q85" s="2"/>
      <c r="R85" s="19">
        <f t="shared" si="19"/>
        <v>0</v>
      </c>
      <c r="S85" s="2"/>
      <c r="T85" s="2">
        <v>8503.4</v>
      </c>
      <c r="U85" s="2"/>
      <c r="V85" s="19">
        <f t="shared" si="20"/>
        <v>3.8759265384066544E-3</v>
      </c>
      <c r="W85" s="2"/>
      <c r="X85" s="2">
        <f t="shared" si="21"/>
        <v>-8503.4</v>
      </c>
      <c r="Y85" s="2"/>
      <c r="Z85" s="19">
        <f t="shared" si="22"/>
        <v>-1</v>
      </c>
    </row>
    <row r="86" spans="1:26" s="24" customFormat="1" hidden="1" outlineLevel="1" x14ac:dyDescent="0.25">
      <c r="A86" s="44"/>
      <c r="B86" s="11" t="str">
        <f>CONCATENATE("          ", "5028", " - ", "PURCHASES @ COST-ART/TECH")</f>
        <v xml:space="preserve">          5028 - PURCHASES @ COST-ART/TECH</v>
      </c>
      <c r="C86" s="11"/>
      <c r="D86" s="2">
        <v>0</v>
      </c>
      <c r="E86" s="2"/>
      <c r="F86" s="19">
        <f t="shared" si="15"/>
        <v>0</v>
      </c>
      <c r="G86" s="2"/>
      <c r="H86" s="2">
        <v>-83.4</v>
      </c>
      <c r="I86" s="2"/>
      <c r="J86" s="19">
        <f t="shared" si="16"/>
        <v>-2.2592756063493448E-4</v>
      </c>
      <c r="K86" s="2"/>
      <c r="L86" s="2">
        <f t="shared" si="17"/>
        <v>83.4</v>
      </c>
      <c r="M86" s="2"/>
      <c r="N86" s="19">
        <f t="shared" si="18"/>
        <v>-1</v>
      </c>
      <c r="O86" s="11"/>
      <c r="P86" s="2">
        <v>0</v>
      </c>
      <c r="Q86" s="2"/>
      <c r="R86" s="19">
        <f t="shared" si="19"/>
        <v>0</v>
      </c>
      <c r="S86" s="2"/>
      <c r="T86" s="2">
        <v>-83.4</v>
      </c>
      <c r="U86" s="2"/>
      <c r="V86" s="19">
        <f t="shared" si="20"/>
        <v>-3.8014473422762072E-5</v>
      </c>
      <c r="W86" s="2"/>
      <c r="X86" s="2">
        <f t="shared" si="21"/>
        <v>83.4</v>
      </c>
      <c r="Y86" s="2"/>
      <c r="Z86" s="19">
        <f t="shared" si="22"/>
        <v>-1</v>
      </c>
    </row>
    <row r="87" spans="1:26" s="24" customFormat="1" hidden="1" outlineLevel="1" x14ac:dyDescent="0.25">
      <c r="A87" s="44"/>
      <c r="B87" s="11" t="str">
        <f>CONCATENATE("          ", "5031", " - ", "PURCHASES @ COST-FOOD")</f>
        <v xml:space="preserve">          5031 - PURCHASES @ COST-FOOD</v>
      </c>
      <c r="C87" s="11"/>
      <c r="D87" s="2">
        <v>0</v>
      </c>
      <c r="E87" s="2"/>
      <c r="F87" s="19">
        <f t="shared" si="15"/>
        <v>0</v>
      </c>
      <c r="G87" s="2"/>
      <c r="H87" s="2">
        <v>4065.92</v>
      </c>
      <c r="I87" s="2"/>
      <c r="J87" s="19">
        <f t="shared" si="16"/>
        <v>1.1014429104757707E-2</v>
      </c>
      <c r="K87" s="2"/>
      <c r="L87" s="2">
        <f t="shared" si="17"/>
        <v>-4065.92</v>
      </c>
      <c r="M87" s="2"/>
      <c r="N87" s="19">
        <f t="shared" si="18"/>
        <v>-1</v>
      </c>
      <c r="O87" s="11"/>
      <c r="P87" s="2">
        <v>0</v>
      </c>
      <c r="Q87" s="2"/>
      <c r="R87" s="19">
        <f t="shared" si="19"/>
        <v>0</v>
      </c>
      <c r="S87" s="2"/>
      <c r="T87" s="2">
        <v>4065.92</v>
      </c>
      <c r="U87" s="2"/>
      <c r="V87" s="19">
        <f t="shared" si="20"/>
        <v>1.8532830668954049E-3</v>
      </c>
      <c r="W87" s="2"/>
      <c r="X87" s="2">
        <f t="shared" si="21"/>
        <v>-4065.92</v>
      </c>
      <c r="Y87" s="2"/>
      <c r="Z87" s="19">
        <f t="shared" si="22"/>
        <v>-1</v>
      </c>
    </row>
    <row r="88" spans="1:26" s="24" customFormat="1" hidden="1" outlineLevel="1" x14ac:dyDescent="0.25">
      <c r="A88" s="44"/>
      <c r="B88" s="11" t="str">
        <f>CONCATENATE("          ", "5040", " - ", "PURCHASES @ COST-LOGO CLOTHING")</f>
        <v xml:space="preserve">          5040 - PURCHASES @ COST-LOGO CLOTHING</v>
      </c>
      <c r="C88" s="11"/>
      <c r="D88" s="2">
        <v>0</v>
      </c>
      <c r="E88" s="2"/>
      <c r="F88" s="19">
        <f t="shared" si="15"/>
        <v>0</v>
      </c>
      <c r="G88" s="2"/>
      <c r="H88" s="2">
        <v>4398.1499999999996</v>
      </c>
      <c r="I88" s="2"/>
      <c r="J88" s="19">
        <f t="shared" si="16"/>
        <v>1.1914428067224663E-2</v>
      </c>
      <c r="K88" s="2"/>
      <c r="L88" s="2">
        <f t="shared" si="17"/>
        <v>-4398.1499999999996</v>
      </c>
      <c r="M88" s="2"/>
      <c r="N88" s="19">
        <f t="shared" si="18"/>
        <v>-1</v>
      </c>
      <c r="O88" s="11"/>
      <c r="P88" s="2">
        <v>0</v>
      </c>
      <c r="Q88" s="2"/>
      <c r="R88" s="19">
        <f t="shared" si="19"/>
        <v>0</v>
      </c>
      <c r="S88" s="2"/>
      <c r="T88" s="2">
        <v>13750.05</v>
      </c>
      <c r="U88" s="2"/>
      <c r="V88" s="19">
        <f t="shared" si="20"/>
        <v>6.2673970058351267E-3</v>
      </c>
      <c r="W88" s="2"/>
      <c r="X88" s="2">
        <f t="shared" si="21"/>
        <v>-13750.05</v>
      </c>
      <c r="Y88" s="2"/>
      <c r="Z88" s="19">
        <f t="shared" si="22"/>
        <v>-1</v>
      </c>
    </row>
    <row r="89" spans="1:26" s="24" customFormat="1" hidden="1" outlineLevel="1" x14ac:dyDescent="0.25">
      <c r="A89" s="44"/>
      <c r="B89" s="11" t="str">
        <f>CONCATENATE("          ", "5041", " - ", "PURCHASES @ COST-LOGO GIFTS")</f>
        <v xml:space="preserve">          5041 - PURCHASES @ COST-LOGO GIFTS</v>
      </c>
      <c r="C89" s="11"/>
      <c r="D89" s="2">
        <v>0</v>
      </c>
      <c r="E89" s="2"/>
      <c r="F89" s="19">
        <f t="shared" si="15"/>
        <v>0</v>
      </c>
      <c r="G89" s="2"/>
      <c r="H89" s="2">
        <v>868</v>
      </c>
      <c r="I89" s="2"/>
      <c r="J89" s="19">
        <f t="shared" si="16"/>
        <v>2.3513803672796539E-3</v>
      </c>
      <c r="K89" s="2"/>
      <c r="L89" s="2">
        <f t="shared" si="17"/>
        <v>-868</v>
      </c>
      <c r="M89" s="2"/>
      <c r="N89" s="19">
        <f t="shared" si="18"/>
        <v>-1</v>
      </c>
      <c r="O89" s="11"/>
      <c r="P89" s="2">
        <v>0</v>
      </c>
      <c r="Q89" s="2"/>
      <c r="R89" s="19">
        <f t="shared" si="19"/>
        <v>0</v>
      </c>
      <c r="S89" s="2"/>
      <c r="T89" s="2">
        <v>1997.54</v>
      </c>
      <c r="U89" s="2"/>
      <c r="V89" s="19">
        <f t="shared" si="20"/>
        <v>9.1049677746887466E-4</v>
      </c>
      <c r="W89" s="2"/>
      <c r="X89" s="2">
        <f t="shared" si="21"/>
        <v>-1997.54</v>
      </c>
      <c r="Y89" s="2"/>
      <c r="Z89" s="19">
        <f t="shared" si="22"/>
        <v>-1</v>
      </c>
    </row>
    <row r="90" spans="1:26" s="24" customFormat="1" hidden="1" outlineLevel="1" x14ac:dyDescent="0.25">
      <c r="A90" s="44"/>
      <c r="B90" s="11" t="str">
        <f>CONCATENATE("          ", "5042", " - ", "PURCHASES @ COST-EVERYDAY GIFT")</f>
        <v xml:space="preserve">          5042 - PURCHASES @ COST-EVERYDAY GIFT</v>
      </c>
      <c r="C90" s="11"/>
      <c r="D90" s="2"/>
      <c r="E90" s="2"/>
      <c r="F90" s="19">
        <f t="shared" si="15"/>
        <v>0</v>
      </c>
      <c r="G90" s="2"/>
      <c r="H90" s="2">
        <v>522</v>
      </c>
      <c r="I90" s="2"/>
      <c r="J90" s="19">
        <f t="shared" si="16"/>
        <v>1.4140789766359208E-3</v>
      </c>
      <c r="K90" s="2"/>
      <c r="L90" s="2">
        <f t="shared" si="17"/>
        <v>-522</v>
      </c>
      <c r="M90" s="2"/>
      <c r="N90" s="19">
        <f t="shared" si="18"/>
        <v>-1</v>
      </c>
      <c r="O90" s="11"/>
      <c r="P90" s="2">
        <v>0</v>
      </c>
      <c r="Q90" s="2"/>
      <c r="R90" s="19">
        <f t="shared" si="19"/>
        <v>0</v>
      </c>
      <c r="S90" s="2"/>
      <c r="T90" s="2">
        <v>1491.15</v>
      </c>
      <c r="U90" s="2"/>
      <c r="V90" s="19">
        <f t="shared" si="20"/>
        <v>6.7967964081956439E-4</v>
      </c>
      <c r="W90" s="2"/>
      <c r="X90" s="2">
        <f t="shared" si="21"/>
        <v>-1491.15</v>
      </c>
      <c r="Y90" s="2"/>
      <c r="Z90" s="19">
        <f t="shared" si="22"/>
        <v>-1</v>
      </c>
    </row>
    <row r="91" spans="1:26" s="24" customFormat="1" hidden="1" outlineLevel="1" x14ac:dyDescent="0.25">
      <c r="A91" s="44"/>
      <c r="B91" s="11" t="str">
        <f>CONCATENATE("          ", "5043", " - ", "PURCHASES @ COST-CARDS")</f>
        <v xml:space="preserve">          5043 - PURCHASES @ COST-CARDS</v>
      </c>
      <c r="C91" s="11"/>
      <c r="D91" s="2"/>
      <c r="E91" s="2"/>
      <c r="F91" s="19">
        <f t="shared" si="15"/>
        <v>0</v>
      </c>
      <c r="G91" s="2"/>
      <c r="H91" s="2">
        <v>1401</v>
      </c>
      <c r="I91" s="2"/>
      <c r="J91" s="19">
        <f t="shared" si="16"/>
        <v>3.7952579430400864E-3</v>
      </c>
      <c r="K91" s="2"/>
      <c r="L91" s="2">
        <f t="shared" si="17"/>
        <v>-1401</v>
      </c>
      <c r="M91" s="2"/>
      <c r="N91" s="19">
        <f t="shared" si="18"/>
        <v>-1</v>
      </c>
      <c r="O91" s="11"/>
      <c r="P91" s="2">
        <v>0</v>
      </c>
      <c r="Q91" s="2"/>
      <c r="R91" s="19">
        <f t="shared" si="19"/>
        <v>0</v>
      </c>
      <c r="S91" s="2"/>
      <c r="T91" s="2">
        <v>3116.25</v>
      </c>
      <c r="U91" s="2"/>
      <c r="V91" s="19">
        <f t="shared" si="20"/>
        <v>1.4204149017228093E-3</v>
      </c>
      <c r="W91" s="2"/>
      <c r="X91" s="2">
        <f t="shared" si="21"/>
        <v>-3116.25</v>
      </c>
      <c r="Y91" s="2"/>
      <c r="Z91" s="19">
        <f t="shared" si="22"/>
        <v>-1</v>
      </c>
    </row>
    <row r="92" spans="1:26" s="24" customFormat="1" hidden="1" outlineLevel="1" x14ac:dyDescent="0.25">
      <c r="A92" s="44"/>
      <c r="B92" s="11" t="str">
        <f>CONCATENATE("          ", "5044", " - ", "PURCHASES @ COST-ACCESSORIES")</f>
        <v xml:space="preserve">          5044 - PURCHASES @ COST-ACCESSORIES</v>
      </c>
      <c r="C92" s="11"/>
      <c r="D92" s="2"/>
      <c r="E92" s="2"/>
      <c r="F92" s="19">
        <f t="shared" si="15"/>
        <v>0</v>
      </c>
      <c r="G92" s="2"/>
      <c r="H92" s="2"/>
      <c r="I92" s="2"/>
      <c r="J92" s="19">
        <f t="shared" si="16"/>
        <v>0</v>
      </c>
      <c r="K92" s="2"/>
      <c r="L92" s="2">
        <f t="shared" si="17"/>
        <v>0</v>
      </c>
      <c r="M92" s="2"/>
      <c r="N92" s="19">
        <f t="shared" si="18"/>
        <v>0</v>
      </c>
      <c r="O92" s="11"/>
      <c r="P92" s="2">
        <v>0</v>
      </c>
      <c r="Q92" s="2"/>
      <c r="R92" s="19">
        <f t="shared" si="19"/>
        <v>0</v>
      </c>
      <c r="S92" s="2"/>
      <c r="T92" s="2"/>
      <c r="U92" s="2"/>
      <c r="V92" s="19">
        <f t="shared" si="20"/>
        <v>0</v>
      </c>
      <c r="W92" s="2"/>
      <c r="X92" s="2">
        <f t="shared" si="21"/>
        <v>0</v>
      </c>
      <c r="Y92" s="2"/>
      <c r="Z92" s="19">
        <f t="shared" si="22"/>
        <v>0</v>
      </c>
    </row>
    <row r="93" spans="1:26" s="24" customFormat="1" hidden="1" outlineLevel="1" x14ac:dyDescent="0.25">
      <c r="A93" s="44"/>
      <c r="B93" s="11" t="str">
        <f>CONCATENATE("          ", "5045", " - ", "PURCHASES @ COST-SPECIAL ORDER")</f>
        <v xml:space="preserve">          5045 - PURCHASES @ COST-SPECIAL ORDER</v>
      </c>
      <c r="C93" s="11"/>
      <c r="D93" s="2">
        <v>0</v>
      </c>
      <c r="E93" s="2"/>
      <c r="F93" s="19">
        <f t="shared" si="15"/>
        <v>0</v>
      </c>
      <c r="G93" s="2"/>
      <c r="H93" s="2">
        <v>52784.12</v>
      </c>
      <c r="I93" s="2"/>
      <c r="J93" s="19">
        <f t="shared" si="16"/>
        <v>0.14299025745637478</v>
      </c>
      <c r="K93" s="2"/>
      <c r="L93" s="2">
        <f t="shared" si="17"/>
        <v>-52784.12</v>
      </c>
      <c r="M93" s="2"/>
      <c r="N93" s="19">
        <f t="shared" si="18"/>
        <v>-1</v>
      </c>
      <c r="O93" s="11"/>
      <c r="P93" s="2">
        <v>0</v>
      </c>
      <c r="Q93" s="2"/>
      <c r="R93" s="19">
        <f t="shared" si="19"/>
        <v>0</v>
      </c>
      <c r="S93" s="2"/>
      <c r="T93" s="2">
        <v>61174.29</v>
      </c>
      <c r="U93" s="2"/>
      <c r="V93" s="19">
        <f t="shared" si="20"/>
        <v>2.7883794021119179E-2</v>
      </c>
      <c r="W93" s="2"/>
      <c r="X93" s="2">
        <f t="shared" si="21"/>
        <v>-61174.29</v>
      </c>
      <c r="Y93" s="2"/>
      <c r="Z93" s="19">
        <f t="shared" si="22"/>
        <v>-1</v>
      </c>
    </row>
    <row r="94" spans="1:26" s="24" customFormat="1" hidden="1" outlineLevel="1" x14ac:dyDescent="0.25">
      <c r="A94" s="44"/>
      <c r="B94" s="11" t="str">
        <f>CONCATENATE("          ", "5092", " - ", "PURCHASES @ COST-GRAD MERCH")</f>
        <v xml:space="preserve">          5092 - PURCHASES @ COST-GRAD MERCH</v>
      </c>
      <c r="C94" s="11"/>
      <c r="D94" s="2"/>
      <c r="E94" s="2"/>
      <c r="F94" s="19">
        <f t="shared" si="15"/>
        <v>0</v>
      </c>
      <c r="G94" s="2"/>
      <c r="H94" s="2"/>
      <c r="I94" s="2"/>
      <c r="J94" s="19">
        <f t="shared" si="16"/>
        <v>0</v>
      </c>
      <c r="K94" s="2"/>
      <c r="L94" s="2">
        <f t="shared" si="17"/>
        <v>0</v>
      </c>
      <c r="M94" s="2"/>
      <c r="N94" s="19">
        <f t="shared" si="18"/>
        <v>0</v>
      </c>
      <c r="O94" s="11"/>
      <c r="P94" s="2"/>
      <c r="Q94" s="2"/>
      <c r="R94" s="19">
        <f t="shared" si="19"/>
        <v>0</v>
      </c>
      <c r="S94" s="2"/>
      <c r="T94" s="2">
        <v>0</v>
      </c>
      <c r="U94" s="2"/>
      <c r="V94" s="19">
        <f t="shared" si="20"/>
        <v>0</v>
      </c>
      <c r="W94" s="2"/>
      <c r="X94" s="2">
        <f t="shared" si="21"/>
        <v>0</v>
      </c>
      <c r="Y94" s="2"/>
      <c r="Z94" s="19">
        <f t="shared" si="22"/>
        <v>0</v>
      </c>
    </row>
    <row r="95" spans="1:26" s="24" customFormat="1" hidden="1" outlineLevel="1" x14ac:dyDescent="0.25">
      <c r="A95" s="44"/>
      <c r="B95" s="11" t="str">
        <f>CONCATENATE("          ", "5200", " - ", "PURCHASES OFFSET")</f>
        <v xml:space="preserve">          5200 - PURCHASES OFFSET</v>
      </c>
      <c r="C95" s="11"/>
      <c r="D95" s="2">
        <v>-697456.98</v>
      </c>
      <c r="E95" s="2"/>
      <c r="F95" s="19">
        <f t="shared" si="15"/>
        <v>-1.1933507221389228</v>
      </c>
      <c r="G95" s="2"/>
      <c r="H95" s="2">
        <v>-821971.1</v>
      </c>
      <c r="I95" s="2"/>
      <c r="J95" s="19">
        <f t="shared" si="16"/>
        <v>-2.2266897546212685</v>
      </c>
      <c r="K95" s="2"/>
      <c r="L95" s="2">
        <f t="shared" si="17"/>
        <v>124514.12</v>
      </c>
      <c r="M95" s="2"/>
      <c r="N95" s="19">
        <f t="shared" si="18"/>
        <v>-0.15148235746974559</v>
      </c>
      <c r="O95" s="11"/>
      <c r="P95" s="2">
        <v>-1347625.63</v>
      </c>
      <c r="Q95" s="2"/>
      <c r="R95" s="19">
        <f t="shared" si="19"/>
        <v>-0.58143818657969804</v>
      </c>
      <c r="S95" s="2"/>
      <c r="T95" s="2">
        <v>-1534973.68</v>
      </c>
      <c r="U95" s="2"/>
      <c r="V95" s="19">
        <f t="shared" si="20"/>
        <v>-0.69965487005994353</v>
      </c>
      <c r="W95" s="2"/>
      <c r="X95" s="2">
        <f t="shared" si="21"/>
        <v>187348.05000000005</v>
      </c>
      <c r="Y95" s="2"/>
      <c r="Z95" s="19">
        <f t="shared" si="22"/>
        <v>-0.12205293969600838</v>
      </c>
    </row>
    <row r="96" spans="1:26" s="24" customFormat="1" hidden="1" outlineLevel="1" x14ac:dyDescent="0.25">
      <c r="A96" s="44"/>
      <c r="B96" s="11" t="str">
        <f>CONCATENATE("          ", "5300", " - ", "COG$ OFFSET")</f>
        <v xml:space="preserve">          5300 - COG$ OFFSET</v>
      </c>
      <c r="C96" s="11"/>
      <c r="D96" s="2">
        <v>339299.2</v>
      </c>
      <c r="E96" s="2"/>
      <c r="F96" s="19">
        <f t="shared" si="15"/>
        <v>0.58054182114739006</v>
      </c>
      <c r="G96" s="2"/>
      <c r="H96" s="2">
        <v>204421</v>
      </c>
      <c r="I96" s="2"/>
      <c r="J96" s="19">
        <f t="shared" si="16"/>
        <v>0.55376903923925591</v>
      </c>
      <c r="K96" s="2"/>
      <c r="L96" s="2">
        <f t="shared" si="17"/>
        <v>134878.20000000001</v>
      </c>
      <c r="M96" s="2"/>
      <c r="N96" s="19">
        <f t="shared" si="18"/>
        <v>0.65980598862152129</v>
      </c>
      <c r="O96" s="11"/>
      <c r="P96" s="2">
        <v>1254097.95</v>
      </c>
      <c r="Q96" s="2"/>
      <c r="R96" s="19">
        <f t="shared" si="19"/>
        <v>0.54108531450334385</v>
      </c>
      <c r="S96" s="2"/>
      <c r="T96" s="2">
        <v>1110478</v>
      </c>
      <c r="U96" s="2"/>
      <c r="V96" s="19">
        <f t="shared" si="20"/>
        <v>0.50616590428731389</v>
      </c>
      <c r="W96" s="2"/>
      <c r="X96" s="2">
        <f t="shared" si="21"/>
        <v>143619.94999999995</v>
      </c>
      <c r="Y96" s="2"/>
      <c r="Z96" s="19">
        <f t="shared" si="22"/>
        <v>0.129331648173129</v>
      </c>
    </row>
    <row r="97" spans="1:26" s="24" customFormat="1" hidden="1" outlineLevel="1" x14ac:dyDescent="0.25">
      <c r="A97" s="44"/>
      <c r="B97" s="11" t="str">
        <f>CONCATENATE("          ", "5500", " - ", "FREIGHT-IN")</f>
        <v xml:space="preserve">          5500 - FREIGHT-IN</v>
      </c>
      <c r="C97" s="11"/>
      <c r="D97" s="2">
        <v>17166.12</v>
      </c>
      <c r="E97" s="2"/>
      <c r="F97" s="19">
        <f t="shared" si="15"/>
        <v>2.9371276344991776E-2</v>
      </c>
      <c r="G97" s="2"/>
      <c r="H97" s="2">
        <v>0</v>
      </c>
      <c r="I97" s="2"/>
      <c r="J97" s="19">
        <f t="shared" si="16"/>
        <v>0</v>
      </c>
      <c r="K97" s="2"/>
      <c r="L97" s="2">
        <f t="shared" si="17"/>
        <v>17166.12</v>
      </c>
      <c r="M97" s="2"/>
      <c r="N97" s="19">
        <f t="shared" si="18"/>
        <v>0</v>
      </c>
      <c r="O97" s="11"/>
      <c r="P97" s="2">
        <v>27340.79</v>
      </c>
      <c r="Q97" s="2"/>
      <c r="R97" s="19">
        <f t="shared" si="19"/>
        <v>1.1796287487687768E-2</v>
      </c>
      <c r="S97" s="2"/>
      <c r="T97" s="2">
        <v>0</v>
      </c>
      <c r="U97" s="2"/>
      <c r="V97" s="19">
        <f t="shared" si="20"/>
        <v>0</v>
      </c>
      <c r="W97" s="2"/>
      <c r="X97" s="2">
        <f t="shared" si="21"/>
        <v>27340.79</v>
      </c>
      <c r="Y97" s="2"/>
      <c r="Z97" s="19">
        <f t="shared" si="22"/>
        <v>0</v>
      </c>
    </row>
    <row r="98" spans="1:26" s="24" customFormat="1" hidden="1" outlineLevel="1" x14ac:dyDescent="0.25">
      <c r="A98" s="44"/>
      <c r="B98" s="11" t="str">
        <f>CONCATENATE("          ", "5501", " - ", "FREIGHT-IN-NEW TEXT")</f>
        <v xml:space="preserve">          5501 - FREIGHT-IN-NEW TEXT</v>
      </c>
      <c r="C98" s="11"/>
      <c r="D98" s="2">
        <v>0</v>
      </c>
      <c r="E98" s="2"/>
      <c r="F98" s="19">
        <f t="shared" si="15"/>
        <v>0</v>
      </c>
      <c r="G98" s="2"/>
      <c r="H98" s="2">
        <v>5279.6</v>
      </c>
      <c r="I98" s="2"/>
      <c r="J98" s="19">
        <f t="shared" si="16"/>
        <v>1.4302243994342927E-2</v>
      </c>
      <c r="K98" s="2"/>
      <c r="L98" s="2">
        <f t="shared" si="17"/>
        <v>-5279.6</v>
      </c>
      <c r="M98" s="2"/>
      <c r="N98" s="19">
        <f t="shared" si="18"/>
        <v>-1</v>
      </c>
      <c r="O98" s="11"/>
      <c r="P98" s="2">
        <v>0</v>
      </c>
      <c r="Q98" s="2"/>
      <c r="R98" s="19">
        <f t="shared" si="19"/>
        <v>0</v>
      </c>
      <c r="S98" s="2"/>
      <c r="T98" s="2">
        <v>10762.88</v>
      </c>
      <c r="U98" s="2"/>
      <c r="V98" s="19">
        <f t="shared" si="20"/>
        <v>4.9058179342011676E-3</v>
      </c>
      <c r="W98" s="2"/>
      <c r="X98" s="2">
        <f t="shared" si="21"/>
        <v>-10762.88</v>
      </c>
      <c r="Y98" s="2"/>
      <c r="Z98" s="19">
        <f t="shared" si="22"/>
        <v>-1</v>
      </c>
    </row>
    <row r="99" spans="1:26" s="24" customFormat="1" hidden="1" outlineLevel="1" x14ac:dyDescent="0.25">
      <c r="A99" s="44"/>
      <c r="B99" s="11" t="str">
        <f>CONCATENATE("          ", "5502", " - ", "FREIGHT-IN-USED TEXT")</f>
        <v xml:space="preserve">          5502 - FREIGHT-IN-USED TEXT</v>
      </c>
      <c r="C99" s="11"/>
      <c r="D99" s="2">
        <v>0</v>
      </c>
      <c r="E99" s="2"/>
      <c r="F99" s="19">
        <f t="shared" si="15"/>
        <v>0</v>
      </c>
      <c r="G99" s="2"/>
      <c r="H99" s="2">
        <v>7276.27</v>
      </c>
      <c r="I99" s="2"/>
      <c r="J99" s="19">
        <f t="shared" si="16"/>
        <v>1.9711150259246458E-2</v>
      </c>
      <c r="K99" s="2"/>
      <c r="L99" s="2">
        <f t="shared" si="17"/>
        <v>-7276.27</v>
      </c>
      <c r="M99" s="2"/>
      <c r="N99" s="19">
        <f t="shared" si="18"/>
        <v>-1</v>
      </c>
      <c r="O99" s="11"/>
      <c r="P99" s="2">
        <v>0</v>
      </c>
      <c r="Q99" s="2"/>
      <c r="R99" s="19">
        <f t="shared" si="19"/>
        <v>0</v>
      </c>
      <c r="S99" s="2"/>
      <c r="T99" s="2">
        <v>8510.82</v>
      </c>
      <c r="U99" s="2"/>
      <c r="V99" s="19">
        <f t="shared" si="20"/>
        <v>3.8793086414377924E-3</v>
      </c>
      <c r="W99" s="2"/>
      <c r="X99" s="2">
        <f t="shared" si="21"/>
        <v>-8510.82</v>
      </c>
      <c r="Y99" s="2"/>
      <c r="Z99" s="19">
        <f t="shared" si="22"/>
        <v>-1</v>
      </c>
    </row>
    <row r="100" spans="1:26" s="24" customFormat="1" hidden="1" outlineLevel="1" x14ac:dyDescent="0.25">
      <c r="A100" s="44"/>
      <c r="B100" s="11" t="str">
        <f>CONCATENATE("          ", "5504", " - ", "FREIGHT-IN-DIGITAL TEXT")</f>
        <v xml:space="preserve">          5504 - FREIGHT-IN-DIGITAL TEXT</v>
      </c>
      <c r="C100" s="11"/>
      <c r="D100" s="2"/>
      <c r="E100" s="2"/>
      <c r="F100" s="19">
        <f t="shared" si="15"/>
        <v>0</v>
      </c>
      <c r="G100" s="2"/>
      <c r="H100" s="2">
        <v>10.99</v>
      </c>
      <c r="I100" s="2"/>
      <c r="J100" s="19">
        <f t="shared" si="16"/>
        <v>2.9771509488944001E-5</v>
      </c>
      <c r="K100" s="2"/>
      <c r="L100" s="2">
        <f t="shared" si="17"/>
        <v>-10.99</v>
      </c>
      <c r="M100" s="2"/>
      <c r="N100" s="19">
        <f t="shared" si="18"/>
        <v>-1</v>
      </c>
      <c r="O100" s="11"/>
      <c r="P100" s="2"/>
      <c r="Q100" s="2"/>
      <c r="R100" s="19">
        <f t="shared" si="19"/>
        <v>0</v>
      </c>
      <c r="S100" s="2"/>
      <c r="T100" s="2">
        <v>10.99</v>
      </c>
      <c r="U100" s="2"/>
      <c r="V100" s="19">
        <f t="shared" si="20"/>
        <v>5.0093412819682872E-6</v>
      </c>
      <c r="W100" s="2"/>
      <c r="X100" s="2">
        <f t="shared" si="21"/>
        <v>-10.99</v>
      </c>
      <c r="Y100" s="2"/>
      <c r="Z100" s="19">
        <f t="shared" si="22"/>
        <v>-1</v>
      </c>
    </row>
    <row r="101" spans="1:26" s="24" customFormat="1" hidden="1" outlineLevel="1" x14ac:dyDescent="0.25">
      <c r="A101" s="44"/>
      <c r="B101" s="11" t="str">
        <f>CONCATENATE("          ", "5518", " - ", "FREIGHT-IN-STUDY GUIDES")</f>
        <v xml:space="preserve">          5518 - FREIGHT-IN-STUDY GUIDES</v>
      </c>
      <c r="C101" s="11"/>
      <c r="D101" s="2"/>
      <c r="E101" s="2"/>
      <c r="F101" s="19">
        <f t="shared" si="15"/>
        <v>0</v>
      </c>
      <c r="G101" s="2"/>
      <c r="H101" s="2"/>
      <c r="I101" s="2"/>
      <c r="J101" s="19">
        <f t="shared" si="16"/>
        <v>0</v>
      </c>
      <c r="K101" s="2"/>
      <c r="L101" s="2">
        <f t="shared" si="17"/>
        <v>0</v>
      </c>
      <c r="M101" s="2"/>
      <c r="N101" s="19">
        <f t="shared" si="18"/>
        <v>0</v>
      </c>
      <c r="O101" s="11"/>
      <c r="P101" s="2">
        <v>0</v>
      </c>
      <c r="Q101" s="2"/>
      <c r="R101" s="19">
        <f t="shared" si="19"/>
        <v>0</v>
      </c>
      <c r="S101" s="2"/>
      <c r="T101" s="2"/>
      <c r="U101" s="2"/>
      <c r="V101" s="19">
        <f t="shared" si="20"/>
        <v>0</v>
      </c>
      <c r="W101" s="2"/>
      <c r="X101" s="2">
        <f t="shared" si="21"/>
        <v>0</v>
      </c>
      <c r="Y101" s="2"/>
      <c r="Z101" s="19">
        <f t="shared" si="22"/>
        <v>0</v>
      </c>
    </row>
    <row r="102" spans="1:26" s="24" customFormat="1" hidden="1" outlineLevel="1" x14ac:dyDescent="0.25">
      <c r="A102" s="44"/>
      <c r="B102" s="11" t="str">
        <f>CONCATENATE("          ", "5527", " - ", "FREIGHT-IN-SCHOOL SUPPLIES")</f>
        <v xml:space="preserve">          5527 - FREIGHT-IN-SCHOOL SUPPLIES</v>
      </c>
      <c r="C102" s="11"/>
      <c r="D102" s="2"/>
      <c r="E102" s="2"/>
      <c r="F102" s="19">
        <f t="shared" si="15"/>
        <v>0</v>
      </c>
      <c r="G102" s="2"/>
      <c r="H102" s="2"/>
      <c r="I102" s="2"/>
      <c r="J102" s="19">
        <f t="shared" si="16"/>
        <v>0</v>
      </c>
      <c r="K102" s="2"/>
      <c r="L102" s="2">
        <f t="shared" si="17"/>
        <v>0</v>
      </c>
      <c r="M102" s="2"/>
      <c r="N102" s="19">
        <f t="shared" si="18"/>
        <v>0</v>
      </c>
      <c r="O102" s="11"/>
      <c r="P102" s="2">
        <v>0</v>
      </c>
      <c r="Q102" s="2"/>
      <c r="R102" s="19">
        <f t="shared" si="19"/>
        <v>0</v>
      </c>
      <c r="S102" s="2"/>
      <c r="T102" s="2"/>
      <c r="U102" s="2"/>
      <c r="V102" s="19">
        <f t="shared" si="20"/>
        <v>0</v>
      </c>
      <c r="W102" s="2"/>
      <c r="X102" s="2">
        <f t="shared" si="21"/>
        <v>0</v>
      </c>
      <c r="Y102" s="2"/>
      <c r="Z102" s="19">
        <f t="shared" si="22"/>
        <v>0</v>
      </c>
    </row>
    <row r="103" spans="1:26" s="24" customFormat="1" hidden="1" outlineLevel="1" x14ac:dyDescent="0.25">
      <c r="A103" s="44"/>
      <c r="B103" s="11" t="str">
        <f>CONCATENATE("          ", "5528", " - ", "FREIGHT-IN-ART/TECH")</f>
        <v xml:space="preserve">          5528 - FREIGHT-IN-ART/TECH</v>
      </c>
      <c r="C103" s="11"/>
      <c r="D103" s="2">
        <v>0</v>
      </c>
      <c r="E103" s="2"/>
      <c r="F103" s="19">
        <f t="shared" si="15"/>
        <v>0</v>
      </c>
      <c r="G103" s="2"/>
      <c r="H103" s="2">
        <v>6.76</v>
      </c>
      <c r="I103" s="2"/>
      <c r="J103" s="19">
        <f t="shared" si="16"/>
        <v>1.831259364379085E-5</v>
      </c>
      <c r="K103" s="2"/>
      <c r="L103" s="2">
        <f t="shared" si="17"/>
        <v>-6.76</v>
      </c>
      <c r="M103" s="2"/>
      <c r="N103" s="19">
        <f t="shared" si="18"/>
        <v>-1</v>
      </c>
      <c r="O103" s="11"/>
      <c r="P103" s="2">
        <v>0</v>
      </c>
      <c r="Q103" s="2"/>
      <c r="R103" s="19">
        <f t="shared" si="19"/>
        <v>0</v>
      </c>
      <c r="S103" s="2"/>
      <c r="T103" s="2">
        <v>44.81</v>
      </c>
      <c r="U103" s="2"/>
      <c r="V103" s="19">
        <f t="shared" si="20"/>
        <v>2.0424802806642307E-5</v>
      </c>
      <c r="W103" s="2"/>
      <c r="X103" s="2">
        <f t="shared" si="21"/>
        <v>-44.81</v>
      </c>
      <c r="Y103" s="2"/>
      <c r="Z103" s="19">
        <f t="shared" si="22"/>
        <v>-1</v>
      </c>
    </row>
    <row r="104" spans="1:26" s="24" customFormat="1" hidden="1" outlineLevel="1" x14ac:dyDescent="0.25">
      <c r="A104" s="44"/>
      <c r="B104" s="11" t="str">
        <f>CONCATENATE("          ", "5540", " - ", "FREIGHT-IN-LOGO CLOTHING")</f>
        <v xml:space="preserve">          5540 - FREIGHT-IN-LOGO CLOTHING</v>
      </c>
      <c r="C104" s="11"/>
      <c r="D104" s="2"/>
      <c r="E104" s="2"/>
      <c r="F104" s="19">
        <f t="shared" si="15"/>
        <v>0</v>
      </c>
      <c r="G104" s="2"/>
      <c r="H104" s="2">
        <v>234.23</v>
      </c>
      <c r="I104" s="2"/>
      <c r="J104" s="19">
        <f t="shared" si="16"/>
        <v>6.3452053390312588E-4</v>
      </c>
      <c r="K104" s="2"/>
      <c r="L104" s="2">
        <f t="shared" si="17"/>
        <v>-234.23</v>
      </c>
      <c r="M104" s="2"/>
      <c r="N104" s="19">
        <f t="shared" si="18"/>
        <v>-1</v>
      </c>
      <c r="O104" s="11"/>
      <c r="P104" s="2">
        <v>0</v>
      </c>
      <c r="Q104" s="2"/>
      <c r="R104" s="19">
        <f t="shared" si="19"/>
        <v>0</v>
      </c>
      <c r="S104" s="2"/>
      <c r="T104" s="2">
        <v>2165.7600000000002</v>
      </c>
      <c r="U104" s="2"/>
      <c r="V104" s="19">
        <f t="shared" si="20"/>
        <v>9.8717297314246041E-4</v>
      </c>
      <c r="W104" s="2"/>
      <c r="X104" s="2">
        <f t="shared" si="21"/>
        <v>-2165.7600000000002</v>
      </c>
      <c r="Y104" s="2"/>
      <c r="Z104" s="19">
        <f t="shared" si="22"/>
        <v>-1</v>
      </c>
    </row>
    <row r="105" spans="1:26" s="24" customFormat="1" hidden="1" outlineLevel="1" x14ac:dyDescent="0.25">
      <c r="A105" s="44"/>
      <c r="B105" s="11" t="str">
        <f>CONCATENATE("          ", "5541", " - ", "FREIGHT-IN-LOGO GIFTS")</f>
        <v xml:space="preserve">          5541 - FREIGHT-IN-LOGO GIFTS</v>
      </c>
      <c r="C105" s="11"/>
      <c r="D105" s="2">
        <v>0</v>
      </c>
      <c r="E105" s="2"/>
      <c r="F105" s="19">
        <f t="shared" si="15"/>
        <v>0</v>
      </c>
      <c r="G105" s="2"/>
      <c r="H105" s="2">
        <v>154.41</v>
      </c>
      <c r="I105" s="2"/>
      <c r="J105" s="19">
        <f t="shared" si="16"/>
        <v>4.1829106280144162E-4</v>
      </c>
      <c r="K105" s="2"/>
      <c r="L105" s="2">
        <f t="shared" si="17"/>
        <v>-154.41</v>
      </c>
      <c r="M105" s="2"/>
      <c r="N105" s="19">
        <f t="shared" si="18"/>
        <v>-1</v>
      </c>
      <c r="O105" s="11"/>
      <c r="P105" s="2">
        <v>0</v>
      </c>
      <c r="Q105" s="2"/>
      <c r="R105" s="19">
        <f t="shared" si="19"/>
        <v>0</v>
      </c>
      <c r="S105" s="2"/>
      <c r="T105" s="2">
        <v>361.11</v>
      </c>
      <c r="U105" s="2"/>
      <c r="V105" s="19">
        <f t="shared" si="20"/>
        <v>1.6459720021215363E-4</v>
      </c>
      <c r="W105" s="2"/>
      <c r="X105" s="2">
        <f t="shared" si="21"/>
        <v>-361.11</v>
      </c>
      <c r="Y105" s="2"/>
      <c r="Z105" s="19">
        <f t="shared" si="22"/>
        <v>-1</v>
      </c>
    </row>
    <row r="106" spans="1:26" s="24" customFormat="1" hidden="1" outlineLevel="1" x14ac:dyDescent="0.25">
      <c r="A106" s="44"/>
      <c r="B106" s="11" t="str">
        <f>CONCATENATE("          ", "5542", " - ", "FREIGHT-IN-EVERYDAY GIFTS")</f>
        <v xml:space="preserve">          5542 - FREIGHT-IN-EVERYDAY GIFTS</v>
      </c>
      <c r="C106" s="11"/>
      <c r="D106" s="2"/>
      <c r="E106" s="2"/>
      <c r="F106" s="19">
        <f t="shared" si="15"/>
        <v>0</v>
      </c>
      <c r="G106" s="2"/>
      <c r="H106" s="2">
        <v>65.44</v>
      </c>
      <c r="I106" s="2"/>
      <c r="J106" s="19">
        <f t="shared" si="16"/>
        <v>1.7727457515527711E-4</v>
      </c>
      <c r="K106" s="2"/>
      <c r="L106" s="2">
        <f t="shared" si="17"/>
        <v>-65.44</v>
      </c>
      <c r="M106" s="2"/>
      <c r="N106" s="19">
        <f t="shared" si="18"/>
        <v>-1</v>
      </c>
      <c r="O106" s="11"/>
      <c r="P106" s="2">
        <v>0</v>
      </c>
      <c r="Q106" s="2"/>
      <c r="R106" s="19">
        <f t="shared" si="19"/>
        <v>0</v>
      </c>
      <c r="S106" s="2"/>
      <c r="T106" s="2">
        <v>71.38</v>
      </c>
      <c r="U106" s="2"/>
      <c r="V106" s="19">
        <f t="shared" si="20"/>
        <v>3.2535648835932335E-5</v>
      </c>
      <c r="W106" s="2"/>
      <c r="X106" s="2">
        <f t="shared" si="21"/>
        <v>-71.38</v>
      </c>
      <c r="Y106" s="2"/>
      <c r="Z106" s="19">
        <f t="shared" si="22"/>
        <v>-1</v>
      </c>
    </row>
    <row r="107" spans="1:26" s="24" customFormat="1" hidden="1" outlineLevel="1" x14ac:dyDescent="0.25">
      <c r="A107" s="44"/>
      <c r="B107" s="11" t="str">
        <f>CONCATENATE("          ", "5543", " - ", "FREIGHT-IN-CARDS")</f>
        <v xml:space="preserve">          5543 - FREIGHT-IN-CARDS</v>
      </c>
      <c r="C107" s="11"/>
      <c r="D107" s="2"/>
      <c r="E107" s="2"/>
      <c r="F107" s="19">
        <f t="shared" si="15"/>
        <v>0</v>
      </c>
      <c r="G107" s="2"/>
      <c r="H107" s="2">
        <v>81.77</v>
      </c>
      <c r="I107" s="2"/>
      <c r="J107" s="19">
        <f t="shared" si="16"/>
        <v>2.2151195003739318E-4</v>
      </c>
      <c r="K107" s="2"/>
      <c r="L107" s="2">
        <f t="shared" si="17"/>
        <v>-81.77</v>
      </c>
      <c r="M107" s="2"/>
      <c r="N107" s="19">
        <f t="shared" si="18"/>
        <v>-1</v>
      </c>
      <c r="O107" s="11"/>
      <c r="P107" s="2"/>
      <c r="Q107" s="2"/>
      <c r="R107" s="19">
        <f t="shared" si="19"/>
        <v>0</v>
      </c>
      <c r="S107" s="2"/>
      <c r="T107" s="2">
        <v>81.77</v>
      </c>
      <c r="U107" s="2"/>
      <c r="V107" s="19">
        <f t="shared" si="20"/>
        <v>3.7271504697592979E-5</v>
      </c>
      <c r="W107" s="2"/>
      <c r="X107" s="2">
        <f t="shared" si="21"/>
        <v>-81.77</v>
      </c>
      <c r="Y107" s="2"/>
      <c r="Z107" s="19">
        <f t="shared" si="22"/>
        <v>-1</v>
      </c>
    </row>
    <row r="108" spans="1:26" s="24" customFormat="1" hidden="1" outlineLevel="1" x14ac:dyDescent="0.25">
      <c r="A108" s="44"/>
      <c r="B108" s="11" t="str">
        <f>CONCATENATE("          ", "5544", " - ", "FREIGHT-IN-ACCESSORIES")</f>
        <v xml:space="preserve">          5544 - FREIGHT-IN-ACCESSORIES</v>
      </c>
      <c r="C108" s="11"/>
      <c r="D108" s="2"/>
      <c r="E108" s="2"/>
      <c r="F108" s="19">
        <f t="shared" si="15"/>
        <v>0</v>
      </c>
      <c r="G108" s="2"/>
      <c r="H108" s="2"/>
      <c r="I108" s="2"/>
      <c r="J108" s="19">
        <f t="shared" si="16"/>
        <v>0</v>
      </c>
      <c r="K108" s="2"/>
      <c r="L108" s="2">
        <f t="shared" si="17"/>
        <v>0</v>
      </c>
      <c r="M108" s="2"/>
      <c r="N108" s="19">
        <f t="shared" si="18"/>
        <v>0</v>
      </c>
      <c r="O108" s="11"/>
      <c r="P108" s="2">
        <v>0</v>
      </c>
      <c r="Q108" s="2"/>
      <c r="R108" s="19">
        <f t="shared" si="19"/>
        <v>0</v>
      </c>
      <c r="S108" s="2"/>
      <c r="T108" s="2"/>
      <c r="U108" s="2"/>
      <c r="V108" s="19">
        <f t="shared" si="20"/>
        <v>0</v>
      </c>
      <c r="W108" s="2"/>
      <c r="X108" s="2">
        <f t="shared" si="21"/>
        <v>0</v>
      </c>
      <c r="Y108" s="2"/>
      <c r="Z108" s="19">
        <f t="shared" si="22"/>
        <v>0</v>
      </c>
    </row>
    <row r="109" spans="1:26" s="24" customFormat="1" hidden="1" outlineLevel="1" x14ac:dyDescent="0.25">
      <c r="A109" s="44"/>
      <c r="B109" s="11" t="str">
        <f>CONCATENATE("          ", "5545", " - ", "FREIGHT-IN-SPECIAL ORDERS")</f>
        <v xml:space="preserve">          5545 - FREIGHT-IN-SPECIAL ORDERS</v>
      </c>
      <c r="C109" s="11"/>
      <c r="D109" s="2"/>
      <c r="E109" s="2"/>
      <c r="F109" s="19">
        <f t="shared" si="15"/>
        <v>0</v>
      </c>
      <c r="G109" s="2"/>
      <c r="H109" s="2">
        <v>214.61</v>
      </c>
      <c r="I109" s="2"/>
      <c r="J109" s="19">
        <f t="shared" si="16"/>
        <v>5.8137066891922405E-4</v>
      </c>
      <c r="K109" s="2"/>
      <c r="L109" s="2">
        <f t="shared" si="17"/>
        <v>-214.61</v>
      </c>
      <c r="M109" s="2"/>
      <c r="N109" s="19">
        <f t="shared" si="18"/>
        <v>-1</v>
      </c>
      <c r="O109" s="11"/>
      <c r="P109" s="2">
        <v>0</v>
      </c>
      <c r="Q109" s="2"/>
      <c r="R109" s="19">
        <f t="shared" si="19"/>
        <v>0</v>
      </c>
      <c r="S109" s="2"/>
      <c r="T109" s="2">
        <v>660.61</v>
      </c>
      <c r="U109" s="2"/>
      <c r="V109" s="19">
        <f t="shared" si="20"/>
        <v>3.0111200584905098E-4</v>
      </c>
      <c r="W109" s="2"/>
      <c r="X109" s="2">
        <f t="shared" si="21"/>
        <v>-660.61</v>
      </c>
      <c r="Y109" s="2"/>
      <c r="Z109" s="19">
        <f t="shared" si="22"/>
        <v>-1</v>
      </c>
    </row>
    <row r="110" spans="1:26" s="24" customFormat="1" hidden="1" outlineLevel="1" x14ac:dyDescent="0.25">
      <c r="A110" s="44"/>
      <c r="B110" s="11" t="str">
        <f>CONCATENATE("          ", "5592", " - ", "FREIGHT-IN-GRAD MERCH")</f>
        <v xml:space="preserve">          5592 - FREIGHT-IN-GRAD MERCH</v>
      </c>
      <c r="C110" s="11"/>
      <c r="D110" s="2"/>
      <c r="E110" s="2"/>
      <c r="F110" s="19">
        <f t="shared" si="15"/>
        <v>0</v>
      </c>
      <c r="G110" s="2"/>
      <c r="H110" s="2"/>
      <c r="I110" s="2"/>
      <c r="J110" s="19">
        <f t="shared" si="16"/>
        <v>0</v>
      </c>
      <c r="K110" s="2"/>
      <c r="L110" s="2">
        <f t="shared" si="17"/>
        <v>0</v>
      </c>
      <c r="M110" s="2"/>
      <c r="N110" s="19">
        <f t="shared" si="18"/>
        <v>0</v>
      </c>
      <c r="O110" s="11"/>
      <c r="P110" s="2"/>
      <c r="Q110" s="2"/>
      <c r="R110" s="19">
        <f t="shared" si="19"/>
        <v>0</v>
      </c>
      <c r="S110" s="2"/>
      <c r="T110" s="2">
        <v>0</v>
      </c>
      <c r="U110" s="2"/>
      <c r="V110" s="19">
        <f t="shared" si="20"/>
        <v>0</v>
      </c>
      <c r="W110" s="2"/>
      <c r="X110" s="2">
        <f t="shared" si="21"/>
        <v>0</v>
      </c>
      <c r="Y110" s="2"/>
      <c r="Z110" s="19">
        <f t="shared" si="22"/>
        <v>0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5" t="s">
        <v>107</v>
      </c>
      <c r="C112" s="25"/>
      <c r="D112" s="21">
        <f>D12-D76</f>
        <v>199140.35000000015</v>
      </c>
      <c r="E112" s="13"/>
      <c r="F112" s="22">
        <f>IF(D$12=0,0,D112/D$12)</f>
        <v>0.34072966117494158</v>
      </c>
      <c r="G112" s="13"/>
      <c r="H112" s="21">
        <f>H12-H76</f>
        <v>138003.76999999999</v>
      </c>
      <c r="I112" s="13"/>
      <c r="J112" s="22">
        <f>IF(H$12=0,0,H112/H$12)</f>
        <v>0.37384718362739267</v>
      </c>
      <c r="K112" s="16"/>
      <c r="L112" s="21">
        <f>+D112-H112</f>
        <v>61136.580000000162</v>
      </c>
      <c r="M112" s="16"/>
      <c r="N112" s="22">
        <f>IF(H112=0,0,L112/H112)</f>
        <v>0.44300659322567904</v>
      </c>
      <c r="O112" s="26"/>
      <c r="P112" s="21">
        <f>P12-P76</f>
        <v>812673.6099999994</v>
      </c>
      <c r="Q112" s="13"/>
      <c r="R112" s="22">
        <f>IF(P$12=0,0,P112/P$12)</f>
        <v>0.35063110967960476</v>
      </c>
      <c r="S112" s="13"/>
      <c r="T112" s="21">
        <f>T12-T76</f>
        <v>739941.79999999935</v>
      </c>
      <c r="U112" s="13"/>
      <c r="V112" s="22">
        <f>IF(T$12=0,0,T112/T$12)</f>
        <v>0.3372721569603202</v>
      </c>
      <c r="W112" s="16"/>
      <c r="X112" s="21">
        <f>+P112-T112</f>
        <v>72731.810000000056</v>
      </c>
      <c r="Y112" s="16"/>
      <c r="Z112" s="22">
        <f>IF(T112=0,0,X112/T112)</f>
        <v>9.8293960416887011E-2</v>
      </c>
    </row>
    <row r="113" spans="1:26" x14ac:dyDescent="0.25">
      <c r="A113" s="9"/>
      <c r="B113" s="10"/>
      <c r="C113" s="9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7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x14ac:dyDescent="0.25">
      <c r="A114" s="10"/>
      <c r="B114" s="26" t="s">
        <v>294</v>
      </c>
      <c r="C114" s="10"/>
      <c r="D114" s="20">
        <f>SUM(OSRRefD22x_0)</f>
        <v>291858.15999999992</v>
      </c>
      <c r="E114" s="20"/>
      <c r="F114" s="30">
        <f t="shared" ref="F114:F125" si="23">IF(D$12=0,0,D114/D$12)</f>
        <v>0.4993700772743534</v>
      </c>
      <c r="G114" s="20"/>
      <c r="H114" s="20">
        <f>SUM(OSRRefH22x_0)</f>
        <v>259799.44000000009</v>
      </c>
      <c r="I114" s="20"/>
      <c r="J114" s="30">
        <f t="shared" ref="J114:J125" si="24">IF(H$12=0,0,H114/H$12)</f>
        <v>0.70378721503024033</v>
      </c>
      <c r="K114" s="4"/>
      <c r="L114" s="20">
        <f t="shared" ref="L114:L125" si="25">+D114-H114</f>
        <v>32058.719999999827</v>
      </c>
      <c r="M114" s="4"/>
      <c r="N114" s="30">
        <f t="shared" ref="N114:N125" si="26">IF(H114=0,0,L114/H114)</f>
        <v>0.12339795651599486</v>
      </c>
      <c r="O114" s="10"/>
      <c r="P114" s="20">
        <f>SUM(OSRRefP22x_0)</f>
        <v>995250.98999999987</v>
      </c>
      <c r="Q114" s="20"/>
      <c r="R114" s="30">
        <f t="shared" ref="R114:R125" si="27">IF(P$12=0,0,P114/P$12)</f>
        <v>0.42940481238639633</v>
      </c>
      <c r="S114" s="20"/>
      <c r="T114" s="20">
        <f>SUM(OSRRefT22x_0)</f>
        <v>802288.14</v>
      </c>
      <c r="U114" s="20"/>
      <c r="V114" s="30">
        <f t="shared" ref="V114:V125" si="28">IF(T$12=0,0,T114/T$12)</f>
        <v>0.36569018195955894</v>
      </c>
      <c r="W114" s="4"/>
      <c r="X114" s="20">
        <f t="shared" ref="X114:X125" si="29">+P114-T114</f>
        <v>192962.84999999986</v>
      </c>
      <c r="Y114" s="4"/>
      <c r="Z114" s="30">
        <f t="shared" ref="Z114:Z125" si="30">IF(T114=0,0,X114/T114)</f>
        <v>0.24051564566316519</v>
      </c>
    </row>
    <row r="115" spans="1:26" s="27" customFormat="1" outlineLevel="1" collapsed="1" x14ac:dyDescent="0.25">
      <c r="A115" s="29"/>
      <c r="B115" s="14" t="str">
        <f>CONCATENATE("     ","*Benefits                                         ")</f>
        <v xml:space="preserve">     *Benefits                                         </v>
      </c>
      <c r="C115" s="14"/>
      <c r="D115" s="1">
        <f>SUM(OSRRefD22_0x_0)</f>
        <v>46090.750000000007</v>
      </c>
      <c r="E115" s="1"/>
      <c r="F115" s="5">
        <f t="shared" si="23"/>
        <v>7.8861394141362756E-2</v>
      </c>
      <c r="G115" s="1"/>
      <c r="H115" s="1">
        <f>SUM(OSRRefH22_0x_0)</f>
        <v>46877.819999999992</v>
      </c>
      <c r="I115" s="1"/>
      <c r="J115" s="5">
        <f t="shared" si="24"/>
        <v>0.1269903060010017</v>
      </c>
      <c r="K115" s="1"/>
      <c r="L115" s="1">
        <f t="shared" si="25"/>
        <v>-787.06999999998516</v>
      </c>
      <c r="M115" s="1"/>
      <c r="N115" s="5">
        <f t="shared" si="26"/>
        <v>-1.678981659130022E-2</v>
      </c>
      <c r="O115" s="14"/>
      <c r="P115" s="1">
        <f>SUM(OSRRefP22_0x_0)</f>
        <v>145612.96</v>
      </c>
      <c r="Q115" s="1"/>
      <c r="R115" s="5">
        <f t="shared" si="27"/>
        <v>6.2825263574797188E-2</v>
      </c>
      <c r="S115" s="1"/>
      <c r="T115" s="1">
        <f>SUM(OSRRefT22_0x_0)</f>
        <v>132990.54999999999</v>
      </c>
      <c r="U115" s="1"/>
      <c r="V115" s="5">
        <f t="shared" si="28"/>
        <v>6.061829410615719E-2</v>
      </c>
      <c r="W115" s="1"/>
      <c r="X115" s="1">
        <f t="shared" si="29"/>
        <v>12622.410000000003</v>
      </c>
      <c r="Y115" s="1"/>
      <c r="Z115" s="5">
        <f t="shared" si="30"/>
        <v>9.4912082099066472E-2</v>
      </c>
    </row>
    <row r="116" spans="1:26" s="24" customFormat="1" hidden="1" outlineLevel="2" x14ac:dyDescent="0.25">
      <c r="A116" s="28"/>
      <c r="B116" s="11" t="str">
        <f>CONCATENATE("          ", "6111", " - ", "F.I.C.A.")</f>
        <v xml:space="preserve">          6111 - F.I.C.A.</v>
      </c>
      <c r="C116" s="11"/>
      <c r="D116" s="7">
        <v>7599.49</v>
      </c>
      <c r="E116" s="2"/>
      <c r="F116" s="6">
        <f t="shared" si="23"/>
        <v>1.3002747322691532E-2</v>
      </c>
      <c r="G116" s="2"/>
      <c r="H116" s="7">
        <v>11303.64</v>
      </c>
      <c r="I116" s="2"/>
      <c r="J116" s="6">
        <f t="shared" si="24"/>
        <v>3.0621148818890533E-2</v>
      </c>
      <c r="K116" s="2"/>
      <c r="L116" s="7">
        <f t="shared" si="25"/>
        <v>-3704.1499999999996</v>
      </c>
      <c r="M116" s="2"/>
      <c r="N116" s="6">
        <f t="shared" si="26"/>
        <v>-0.32769532646121069</v>
      </c>
      <c r="O116" s="11"/>
      <c r="P116" s="7">
        <v>29547.53</v>
      </c>
      <c r="Q116" s="2"/>
      <c r="R116" s="6">
        <f t="shared" si="27"/>
        <v>1.274839382589453E-2</v>
      </c>
      <c r="S116" s="2"/>
      <c r="T116" s="7">
        <v>29607.03</v>
      </c>
      <c r="U116" s="2"/>
      <c r="V116" s="6">
        <f t="shared" si="28"/>
        <v>1.3495151739351551E-2</v>
      </c>
      <c r="W116" s="2"/>
      <c r="X116" s="7">
        <f t="shared" si="29"/>
        <v>-59.5</v>
      </c>
      <c r="Y116" s="2"/>
      <c r="Z116" s="6">
        <f t="shared" si="30"/>
        <v>-2.0096578413978032E-3</v>
      </c>
    </row>
    <row r="117" spans="1:26" s="24" customFormat="1" hidden="1" outlineLevel="2" x14ac:dyDescent="0.25">
      <c r="A117" s="28"/>
      <c r="B117" s="11" t="str">
        <f>CONCATENATE("          ", "6112", " - ", "COMPENSATION INSURANCE")</f>
        <v xml:space="preserve">          6112 - COMPENSATION INSURANCE</v>
      </c>
      <c r="C117" s="11"/>
      <c r="D117" s="7">
        <v>2485.61</v>
      </c>
      <c r="E117" s="2"/>
      <c r="F117" s="6">
        <f t="shared" si="23"/>
        <v>4.2528852295029406E-3</v>
      </c>
      <c r="G117" s="2"/>
      <c r="H117" s="7">
        <v>4070.32</v>
      </c>
      <c r="I117" s="2"/>
      <c r="J117" s="6">
        <f t="shared" si="24"/>
        <v>1.1026348544407512E-2</v>
      </c>
      <c r="K117" s="2"/>
      <c r="L117" s="7">
        <f t="shared" si="25"/>
        <v>-1584.71</v>
      </c>
      <c r="M117" s="2"/>
      <c r="N117" s="6">
        <f t="shared" si="26"/>
        <v>-0.38933302541323533</v>
      </c>
      <c r="O117" s="11"/>
      <c r="P117" s="7">
        <v>6998.57</v>
      </c>
      <c r="Q117" s="2"/>
      <c r="R117" s="6">
        <f t="shared" si="27"/>
        <v>3.0195595563517722E-3</v>
      </c>
      <c r="S117" s="2"/>
      <c r="T117" s="7">
        <v>8214.4500000000007</v>
      </c>
      <c r="U117" s="2"/>
      <c r="V117" s="6">
        <f t="shared" si="28"/>
        <v>3.7442205180768335E-3</v>
      </c>
      <c r="W117" s="2"/>
      <c r="X117" s="7">
        <f t="shared" si="29"/>
        <v>-1215.880000000001</v>
      </c>
      <c r="Y117" s="2"/>
      <c r="Z117" s="6">
        <f t="shared" si="30"/>
        <v>-0.1480172135687722</v>
      </c>
    </row>
    <row r="118" spans="1:26" s="24" customFormat="1" hidden="1" outlineLevel="2" x14ac:dyDescent="0.25">
      <c r="A118" s="28"/>
      <c r="B118" s="11" t="str">
        <f>CONCATENATE("          ", "6113", " - ", "GROUP INSURANCE")</f>
        <v xml:space="preserve">          6113 - GROUP INSURANCE</v>
      </c>
      <c r="C118" s="11"/>
      <c r="D118" s="7">
        <v>17921.21</v>
      </c>
      <c r="E118" s="2"/>
      <c r="F118" s="6">
        <f t="shared" si="23"/>
        <v>3.0663237315516265E-2</v>
      </c>
      <c r="G118" s="2"/>
      <c r="H118" s="7">
        <v>14780.92</v>
      </c>
      <c r="I118" s="2"/>
      <c r="J118" s="6">
        <f t="shared" si="24"/>
        <v>4.0040973615588914E-2</v>
      </c>
      <c r="K118" s="2"/>
      <c r="L118" s="7">
        <f t="shared" si="25"/>
        <v>3140.2899999999991</v>
      </c>
      <c r="M118" s="2"/>
      <c r="N118" s="6">
        <f t="shared" si="26"/>
        <v>0.21245565228686705</v>
      </c>
      <c r="O118" s="11"/>
      <c r="P118" s="7">
        <v>53714.21</v>
      </c>
      <c r="Q118" s="2"/>
      <c r="R118" s="6">
        <f t="shared" si="27"/>
        <v>2.3175199521814589E-2</v>
      </c>
      <c r="S118" s="2"/>
      <c r="T118" s="7">
        <v>43784.99</v>
      </c>
      <c r="U118" s="2"/>
      <c r="V118" s="6">
        <f t="shared" si="28"/>
        <v>1.9957593988859747E-2</v>
      </c>
      <c r="W118" s="2"/>
      <c r="X118" s="7">
        <f t="shared" si="29"/>
        <v>9929.2200000000012</v>
      </c>
      <c r="Y118" s="2"/>
      <c r="Z118" s="6">
        <f t="shared" si="30"/>
        <v>0.22677223404641639</v>
      </c>
    </row>
    <row r="119" spans="1:26" s="24" customFormat="1" hidden="1" outlineLevel="2" x14ac:dyDescent="0.25">
      <c r="A119" s="28"/>
      <c r="B119" s="11" t="str">
        <f>CONCATENATE("          ", "6114", " - ", "STATE UNEMPLOYMENT INSURANCE")</f>
        <v xml:space="preserve">          6114 - STATE UNEMPLOYMENT INSURANCE</v>
      </c>
      <c r="C119" s="11"/>
      <c r="D119" s="7">
        <v>449.18</v>
      </c>
      <c r="E119" s="2"/>
      <c r="F119" s="6">
        <f t="shared" si="23"/>
        <v>7.6854815815358439E-4</v>
      </c>
      <c r="G119" s="2"/>
      <c r="H119" s="7">
        <v>487.57</v>
      </c>
      <c r="I119" s="2"/>
      <c r="J119" s="6">
        <f t="shared" si="24"/>
        <v>1.320809361376199E-3</v>
      </c>
      <c r="K119" s="2"/>
      <c r="L119" s="7">
        <f t="shared" si="25"/>
        <v>-38.389999999999986</v>
      </c>
      <c r="M119" s="2"/>
      <c r="N119" s="6">
        <f t="shared" si="26"/>
        <v>-7.8737412063908746E-2</v>
      </c>
      <c r="O119" s="11"/>
      <c r="P119" s="7">
        <v>1267.29</v>
      </c>
      <c r="Q119" s="2"/>
      <c r="R119" s="6">
        <f t="shared" si="27"/>
        <v>5.4677707448364985E-4</v>
      </c>
      <c r="S119" s="2"/>
      <c r="T119" s="7">
        <v>1135.8399999999999</v>
      </c>
      <c r="U119" s="2"/>
      <c r="V119" s="6">
        <f t="shared" si="28"/>
        <v>5.1772613300371789E-4</v>
      </c>
      <c r="W119" s="2"/>
      <c r="X119" s="7">
        <f t="shared" si="29"/>
        <v>131.45000000000005</v>
      </c>
      <c r="Y119" s="2"/>
      <c r="Z119" s="6">
        <f t="shared" si="30"/>
        <v>0.11572932807437672</v>
      </c>
    </row>
    <row r="120" spans="1:26" s="24" customFormat="1" hidden="1" outlineLevel="2" x14ac:dyDescent="0.25">
      <c r="A120" s="28"/>
      <c r="B120" s="11" t="str">
        <f>CONCATENATE("          ", "6115", " - ", "P.E.R.S.")</f>
        <v xml:space="preserve">          6115 - P.E.R.S.</v>
      </c>
      <c r="C120" s="11"/>
      <c r="D120" s="7">
        <v>6296.23</v>
      </c>
      <c r="E120" s="2"/>
      <c r="F120" s="6">
        <f t="shared" si="23"/>
        <v>1.0772866044372728E-2</v>
      </c>
      <c r="G120" s="2"/>
      <c r="H120" s="7">
        <v>5930.47</v>
      </c>
      <c r="I120" s="2"/>
      <c r="J120" s="6">
        <f t="shared" si="24"/>
        <v>1.6065427104540286E-2</v>
      </c>
      <c r="K120" s="2"/>
      <c r="L120" s="7">
        <f t="shared" si="25"/>
        <v>365.75999999999931</v>
      </c>
      <c r="M120" s="2"/>
      <c r="N120" s="6">
        <f t="shared" si="26"/>
        <v>6.1674707063689604E-2</v>
      </c>
      <c r="O120" s="11"/>
      <c r="P120" s="7">
        <v>18888.689999999999</v>
      </c>
      <c r="Q120" s="2"/>
      <c r="R120" s="6">
        <f t="shared" si="27"/>
        <v>8.1495969028624639E-3</v>
      </c>
      <c r="S120" s="2"/>
      <c r="T120" s="7">
        <v>20244.53</v>
      </c>
      <c r="U120" s="2"/>
      <c r="V120" s="6">
        <f t="shared" si="28"/>
        <v>9.2276396599677377E-3</v>
      </c>
      <c r="W120" s="2"/>
      <c r="X120" s="7">
        <f t="shared" si="29"/>
        <v>-1355.8400000000001</v>
      </c>
      <c r="Y120" s="2"/>
      <c r="Z120" s="6">
        <f t="shared" si="30"/>
        <v>-6.6973152747927478E-2</v>
      </c>
    </row>
    <row r="121" spans="1:26" s="24" customFormat="1" hidden="1" outlineLevel="2" x14ac:dyDescent="0.25">
      <c r="A121" s="28"/>
      <c r="B121" s="11" t="str">
        <f>CONCATENATE("          ", "6116", " - ", "EDUCATIONAL BENEFITS")</f>
        <v xml:space="preserve">          6116 - EDUCATIONAL BENEFITS</v>
      </c>
      <c r="C121" s="11"/>
      <c r="D121" s="7"/>
      <c r="E121" s="2"/>
      <c r="F121" s="6">
        <f t="shared" si="23"/>
        <v>0</v>
      </c>
      <c r="G121" s="2"/>
      <c r="H121" s="7"/>
      <c r="I121" s="2"/>
      <c r="J121" s="6">
        <f t="shared" si="24"/>
        <v>0</v>
      </c>
      <c r="K121" s="2"/>
      <c r="L121" s="7">
        <f t="shared" si="25"/>
        <v>0</v>
      </c>
      <c r="M121" s="2"/>
      <c r="N121" s="6">
        <f t="shared" si="26"/>
        <v>0</v>
      </c>
      <c r="O121" s="11"/>
      <c r="P121" s="7"/>
      <c r="Q121" s="2"/>
      <c r="R121" s="6">
        <f t="shared" si="27"/>
        <v>0</v>
      </c>
      <c r="S121" s="2"/>
      <c r="T121" s="7">
        <v>0</v>
      </c>
      <c r="U121" s="2"/>
      <c r="V121" s="6">
        <f t="shared" si="28"/>
        <v>0</v>
      </c>
      <c r="W121" s="2"/>
      <c r="X121" s="7">
        <f t="shared" si="29"/>
        <v>0</v>
      </c>
      <c r="Y121" s="2"/>
      <c r="Z121" s="6">
        <f t="shared" si="30"/>
        <v>0</v>
      </c>
    </row>
    <row r="122" spans="1:26" s="24" customFormat="1" hidden="1" outlineLevel="2" x14ac:dyDescent="0.25">
      <c r="A122" s="28"/>
      <c r="B122" s="11" t="str">
        <f>CONCATENATE("          ", "6117", " - ", "RETIREMENT STAFF HOURLY")</f>
        <v xml:space="preserve">          6117 - RETIREMENT STAFF HOURLY</v>
      </c>
      <c r="C122" s="11"/>
      <c r="D122" s="7">
        <v>424.12</v>
      </c>
      <c r="E122" s="2"/>
      <c r="F122" s="6">
        <f t="shared" si="23"/>
        <v>7.2567043242374588E-4</v>
      </c>
      <c r="G122" s="2"/>
      <c r="H122" s="7">
        <v>248.98</v>
      </c>
      <c r="I122" s="2"/>
      <c r="J122" s="6">
        <f t="shared" si="24"/>
        <v>6.7447774636553929E-4</v>
      </c>
      <c r="K122" s="2"/>
      <c r="L122" s="7">
        <f t="shared" si="25"/>
        <v>175.14000000000001</v>
      </c>
      <c r="M122" s="2"/>
      <c r="N122" s="6">
        <f t="shared" si="26"/>
        <v>0.70342999437705844</v>
      </c>
      <c r="O122" s="11"/>
      <c r="P122" s="7">
        <v>1939.65</v>
      </c>
      <c r="Q122" s="2"/>
      <c r="R122" s="6">
        <f t="shared" si="27"/>
        <v>8.3686934523448582E-4</v>
      </c>
      <c r="S122" s="2"/>
      <c r="T122" s="7">
        <v>837.77</v>
      </c>
      <c r="U122" s="2"/>
      <c r="V122" s="6">
        <f t="shared" si="28"/>
        <v>3.8186313428522039E-4</v>
      </c>
      <c r="W122" s="2"/>
      <c r="X122" s="7">
        <f t="shared" si="29"/>
        <v>1101.8800000000001</v>
      </c>
      <c r="Y122" s="2"/>
      <c r="Z122" s="6">
        <f t="shared" si="30"/>
        <v>1.3152535898874393</v>
      </c>
    </row>
    <row r="123" spans="1:26" s="24" customFormat="1" hidden="1" outlineLevel="2" x14ac:dyDescent="0.25">
      <c r="A123" s="28"/>
      <c r="B123" s="11" t="str">
        <f>CONCATENATE("          ", "6118", " - ", "VACATION")</f>
        <v xml:space="preserve">          6118 - VACATION</v>
      </c>
      <c r="C123" s="11"/>
      <c r="D123" s="7">
        <v>4674.6000000000004</v>
      </c>
      <c r="E123" s="2"/>
      <c r="F123" s="6">
        <f t="shared" si="23"/>
        <v>7.9982528610017048E-3</v>
      </c>
      <c r="G123" s="2"/>
      <c r="H123" s="7">
        <v>4704.91</v>
      </c>
      <c r="I123" s="2"/>
      <c r="J123" s="6">
        <f t="shared" si="24"/>
        <v>1.2745429727900593E-2</v>
      </c>
      <c r="K123" s="2"/>
      <c r="L123" s="7">
        <f t="shared" si="25"/>
        <v>-30.309999999999491</v>
      </c>
      <c r="M123" s="2"/>
      <c r="N123" s="6">
        <f t="shared" si="26"/>
        <v>-6.4422061208396107E-3</v>
      </c>
      <c r="O123" s="11"/>
      <c r="P123" s="7">
        <v>15625.33</v>
      </c>
      <c r="Q123" s="2"/>
      <c r="R123" s="6">
        <f t="shared" si="27"/>
        <v>6.7416078602700324E-3</v>
      </c>
      <c r="S123" s="2"/>
      <c r="T123" s="7">
        <v>14429.57</v>
      </c>
      <c r="U123" s="2"/>
      <c r="V123" s="6">
        <f t="shared" si="28"/>
        <v>6.5771283605142077E-3</v>
      </c>
      <c r="W123" s="2"/>
      <c r="X123" s="7">
        <f t="shared" si="29"/>
        <v>1195.7600000000002</v>
      </c>
      <c r="Y123" s="2"/>
      <c r="Z123" s="6">
        <f t="shared" si="30"/>
        <v>8.2868720273715724E-2</v>
      </c>
    </row>
    <row r="124" spans="1:26" s="24" customFormat="1" hidden="1" outlineLevel="2" x14ac:dyDescent="0.25">
      <c r="A124" s="28"/>
      <c r="B124" s="11" t="str">
        <f>CONCATENATE("          ", "6119", " - ", "SICK LEAVE")</f>
        <v xml:space="preserve">          6119 - SICK LEAVE</v>
      </c>
      <c r="C124" s="11"/>
      <c r="D124" s="7">
        <v>3898.37</v>
      </c>
      <c r="E124" s="2"/>
      <c r="F124" s="6">
        <f t="shared" si="23"/>
        <v>6.6701212950291385E-3</v>
      </c>
      <c r="G124" s="2"/>
      <c r="H124" s="7">
        <v>3523.27</v>
      </c>
      <c r="I124" s="2"/>
      <c r="J124" s="6">
        <f t="shared" si="24"/>
        <v>9.5444100306744072E-3</v>
      </c>
      <c r="K124" s="2"/>
      <c r="L124" s="7">
        <f t="shared" si="25"/>
        <v>375.09999999999991</v>
      </c>
      <c r="M124" s="2"/>
      <c r="N124" s="6">
        <f t="shared" si="26"/>
        <v>0.10646359773732922</v>
      </c>
      <c r="O124" s="11"/>
      <c r="P124" s="7">
        <v>11670.47</v>
      </c>
      <c r="Q124" s="2"/>
      <c r="R124" s="6">
        <f t="shared" si="27"/>
        <v>5.0352685213717469E-3</v>
      </c>
      <c r="S124" s="2"/>
      <c r="T124" s="7">
        <v>10478.459999999999</v>
      </c>
      <c r="U124" s="2"/>
      <c r="V124" s="6">
        <f t="shared" si="28"/>
        <v>4.7761767287946696E-3</v>
      </c>
      <c r="W124" s="2"/>
      <c r="X124" s="7">
        <f t="shared" si="29"/>
        <v>1192.0100000000002</v>
      </c>
      <c r="Y124" s="2"/>
      <c r="Z124" s="6">
        <f t="shared" si="30"/>
        <v>0.11375812857996312</v>
      </c>
    </row>
    <row r="125" spans="1:26" s="24" customFormat="1" hidden="1" outlineLevel="2" x14ac:dyDescent="0.25">
      <c r="A125" s="28"/>
      <c r="B125" s="11" t="str">
        <f>CONCATENATE("          ", "6156", " - ", "EMPLOYEE MEALS")</f>
        <v xml:space="preserve">          6156 - EMPLOYEE MEALS</v>
      </c>
      <c r="C125" s="11"/>
      <c r="D125" s="7">
        <v>2341.94</v>
      </c>
      <c r="E125" s="2"/>
      <c r="F125" s="6">
        <f t="shared" si="23"/>
        <v>4.0070654826711016E-3</v>
      </c>
      <c r="G125" s="2"/>
      <c r="H125" s="7">
        <v>1827.74</v>
      </c>
      <c r="I125" s="2"/>
      <c r="J125" s="6">
        <f t="shared" si="24"/>
        <v>4.9512810512577351E-3</v>
      </c>
      <c r="K125" s="2"/>
      <c r="L125" s="7">
        <f t="shared" si="25"/>
        <v>514.20000000000005</v>
      </c>
      <c r="M125" s="2"/>
      <c r="N125" s="6">
        <f t="shared" si="26"/>
        <v>0.28133104270848153</v>
      </c>
      <c r="O125" s="11"/>
      <c r="P125" s="7">
        <v>5961.22</v>
      </c>
      <c r="Q125" s="2"/>
      <c r="R125" s="6">
        <f t="shared" si="27"/>
        <v>2.5719909665139185E-3</v>
      </c>
      <c r="S125" s="2"/>
      <c r="T125" s="7">
        <v>4257.91</v>
      </c>
      <c r="U125" s="2"/>
      <c r="V125" s="6">
        <f t="shared" si="28"/>
        <v>1.9407938433035113E-3</v>
      </c>
      <c r="W125" s="2"/>
      <c r="X125" s="7">
        <f t="shared" si="29"/>
        <v>1703.3100000000004</v>
      </c>
      <c r="Y125" s="2"/>
      <c r="Z125" s="6">
        <f t="shared" si="30"/>
        <v>0.40003428912306754</v>
      </c>
    </row>
    <row r="126" spans="1:26" s="27" customFormat="1" outlineLevel="1" collapsed="1" x14ac:dyDescent="0.25">
      <c r="A126" s="29"/>
      <c r="B126" s="14" t="str">
        <f>CONCATENATE("     ","*Payroll                                          ")</f>
        <v xml:space="preserve">     *Payroll                                          </v>
      </c>
      <c r="C126" s="14"/>
      <c r="D126" s="1">
        <f>SUM(OSRRefD22_1x_0)</f>
        <v>158667.88</v>
      </c>
      <c r="E126" s="1"/>
      <c r="F126" s="5">
        <f t="shared" ref="F126:F133" si="31">IF(D$12=0,0,D126/D$12)</f>
        <v>0.27148115884975721</v>
      </c>
      <c r="G126" s="1"/>
      <c r="H126" s="1">
        <f>SUM(OSRRefH22_1x_0)</f>
        <v>120415</v>
      </c>
      <c r="I126" s="1"/>
      <c r="J126" s="5">
        <f t="shared" ref="J126:J133" si="32">IF(H$12=0,0,H126/H$12)</f>
        <v>0.32619984668891649</v>
      </c>
      <c r="K126" s="1"/>
      <c r="L126" s="1">
        <f t="shared" ref="L126:L133" si="33">+D126-H126</f>
        <v>38252.880000000005</v>
      </c>
      <c r="M126" s="1"/>
      <c r="N126" s="5">
        <f t="shared" ref="N126:N133" si="34">IF(H126=0,0,L126/H126)</f>
        <v>0.31767537266951795</v>
      </c>
      <c r="O126" s="14"/>
      <c r="P126" s="1">
        <f>SUM(OSRRefP22_1x_0)</f>
        <v>511533.79000000004</v>
      </c>
      <c r="Q126" s="1"/>
      <c r="R126" s="5">
        <f t="shared" ref="R126:R133" si="35">IF(P$12=0,0,P126/P$12)</f>
        <v>0.2207031927938623</v>
      </c>
      <c r="S126" s="1"/>
      <c r="T126" s="1">
        <f>SUM(OSRRefT22_1x_0)</f>
        <v>400728.57</v>
      </c>
      <c r="U126" s="1"/>
      <c r="V126" s="5">
        <f t="shared" ref="V126:V133" si="36">IF(T$12=0,0,T126/T$12)</f>
        <v>0.18265570232621645</v>
      </c>
      <c r="W126" s="1"/>
      <c r="X126" s="1">
        <f t="shared" ref="X126:X133" si="37">+P126-T126</f>
        <v>110805.22000000003</v>
      </c>
      <c r="Y126" s="1"/>
      <c r="Z126" s="5">
        <f t="shared" ref="Z126:Z133" si="38">IF(T126=0,0,X126/T126)</f>
        <v>0.27650940884998548</v>
      </c>
    </row>
    <row r="127" spans="1:26" s="24" customFormat="1" hidden="1" outlineLevel="2" x14ac:dyDescent="0.25">
      <c r="A127" s="28"/>
      <c r="B127" s="11" t="str">
        <f>CONCATENATE("          ", "6001", " - ", "ADMINISTRATIVE SALARIES")</f>
        <v xml:space="preserve">          6001 - ADMINISTRATIVE SALARIES</v>
      </c>
      <c r="C127" s="11"/>
      <c r="D127" s="7">
        <v>4479.1000000000004</v>
      </c>
      <c r="E127" s="2"/>
      <c r="F127" s="6">
        <f t="shared" si="31"/>
        <v>7.6637518482250318E-3</v>
      </c>
      <c r="G127" s="2"/>
      <c r="H127" s="7">
        <v>4205.74</v>
      </c>
      <c r="I127" s="2"/>
      <c r="J127" s="6">
        <f t="shared" si="32"/>
        <v>1.1393196389265819E-2</v>
      </c>
      <c r="K127" s="2"/>
      <c r="L127" s="7">
        <f t="shared" si="33"/>
        <v>273.36000000000058</v>
      </c>
      <c r="M127" s="2"/>
      <c r="N127" s="6">
        <f t="shared" si="34"/>
        <v>6.4996885209261765E-2</v>
      </c>
      <c r="O127" s="11"/>
      <c r="P127" s="7">
        <v>14557.3</v>
      </c>
      <c r="Q127" s="2"/>
      <c r="R127" s="6">
        <f t="shared" si="35"/>
        <v>6.2808022681318694E-3</v>
      </c>
      <c r="S127" s="2"/>
      <c r="T127" s="7">
        <v>12937.33</v>
      </c>
      <c r="U127" s="2"/>
      <c r="V127" s="6">
        <f t="shared" si="36"/>
        <v>5.8969518878477512E-3</v>
      </c>
      <c r="W127" s="2"/>
      <c r="X127" s="7">
        <f t="shared" si="37"/>
        <v>1619.9699999999993</v>
      </c>
      <c r="Y127" s="2"/>
      <c r="Z127" s="6">
        <f t="shared" si="38"/>
        <v>0.12521671782353849</v>
      </c>
    </row>
    <row r="128" spans="1:26" s="24" customFormat="1" hidden="1" outlineLevel="2" x14ac:dyDescent="0.25">
      <c r="A128" s="28"/>
      <c r="B128" s="11" t="str">
        <f>CONCATENATE("          ", "6002", " - ", "STAFF SALARIES")</f>
        <v xml:space="preserve">          6002 - STAFF SALARIES</v>
      </c>
      <c r="C128" s="11"/>
      <c r="D128" s="7">
        <v>59317.32</v>
      </c>
      <c r="E128" s="2"/>
      <c r="F128" s="6">
        <f t="shared" si="31"/>
        <v>0.10149209010331442</v>
      </c>
      <c r="G128" s="2"/>
      <c r="H128" s="7">
        <v>53438.720000000001</v>
      </c>
      <c r="I128" s="2"/>
      <c r="J128" s="6">
        <f t="shared" si="32"/>
        <v>0.14476354500063893</v>
      </c>
      <c r="K128" s="2"/>
      <c r="L128" s="7">
        <f t="shared" si="33"/>
        <v>5878.5999999999985</v>
      </c>
      <c r="M128" s="2"/>
      <c r="N128" s="6">
        <f t="shared" si="34"/>
        <v>0.11000637739826101</v>
      </c>
      <c r="O128" s="11"/>
      <c r="P128" s="7">
        <v>186603.07</v>
      </c>
      <c r="Q128" s="2"/>
      <c r="R128" s="6">
        <f t="shared" si="35"/>
        <v>8.0510601917688718E-2</v>
      </c>
      <c r="S128" s="2"/>
      <c r="T128" s="7">
        <v>171933.88</v>
      </c>
      <c r="U128" s="2"/>
      <c r="V128" s="6">
        <f t="shared" si="36"/>
        <v>7.8369015728205801E-2</v>
      </c>
      <c r="W128" s="2"/>
      <c r="X128" s="7">
        <f t="shared" si="37"/>
        <v>14669.190000000002</v>
      </c>
      <c r="Y128" s="2"/>
      <c r="Z128" s="6">
        <f t="shared" si="38"/>
        <v>8.5318786500950261E-2</v>
      </c>
    </row>
    <row r="129" spans="1:26" s="24" customFormat="1" hidden="1" outlineLevel="2" x14ac:dyDescent="0.25">
      <c r="A129" s="28"/>
      <c r="B129" s="11" t="str">
        <f>CONCATENATE("          ", "6004", " - ", "STAFF HOURLY")</f>
        <v xml:space="preserve">          6004 - STAFF HOURLY</v>
      </c>
      <c r="C129" s="11"/>
      <c r="D129" s="7">
        <v>21848.69</v>
      </c>
      <c r="E129" s="2"/>
      <c r="F129" s="6">
        <f t="shared" si="31"/>
        <v>3.7383165896897982E-2</v>
      </c>
      <c r="G129" s="2"/>
      <c r="H129" s="7">
        <v>15888.17</v>
      </c>
      <c r="I129" s="2"/>
      <c r="J129" s="6">
        <f t="shared" si="32"/>
        <v>4.3040473513826699E-2</v>
      </c>
      <c r="K129" s="2"/>
      <c r="L129" s="7">
        <f t="shared" si="33"/>
        <v>5960.5199999999986</v>
      </c>
      <c r="M129" s="2"/>
      <c r="N129" s="6">
        <f t="shared" si="34"/>
        <v>0.37515459615550428</v>
      </c>
      <c r="O129" s="11"/>
      <c r="P129" s="7">
        <v>59611.89</v>
      </c>
      <c r="Q129" s="2"/>
      <c r="R129" s="6">
        <f t="shared" si="35"/>
        <v>2.571977591446405E-2</v>
      </c>
      <c r="S129" s="2"/>
      <c r="T129" s="7">
        <v>45478.05</v>
      </c>
      <c r="U129" s="2"/>
      <c r="V129" s="6">
        <f t="shared" si="36"/>
        <v>2.0729306031703174E-2</v>
      </c>
      <c r="W129" s="2"/>
      <c r="X129" s="7">
        <f t="shared" si="37"/>
        <v>14133.839999999997</v>
      </c>
      <c r="Y129" s="2"/>
      <c r="Z129" s="6">
        <f t="shared" si="38"/>
        <v>0.31078377371061416</v>
      </c>
    </row>
    <row r="130" spans="1:26" s="24" customFormat="1" hidden="1" outlineLevel="2" x14ac:dyDescent="0.25">
      <c r="A130" s="28"/>
      <c r="B130" s="11" t="str">
        <f>CONCATENATE("          ", "6005", " - ", "TEMPORARY WAGES-HOURLY")</f>
        <v xml:space="preserve">          6005 - TEMPORARY WAGES-HOURLY</v>
      </c>
      <c r="C130" s="11"/>
      <c r="D130" s="7">
        <v>8688.1200000000008</v>
      </c>
      <c r="E130" s="2"/>
      <c r="F130" s="6">
        <f t="shared" si="31"/>
        <v>1.4865396108057616E-2</v>
      </c>
      <c r="G130" s="2"/>
      <c r="H130" s="7">
        <v>25841.46</v>
      </c>
      <c r="I130" s="2"/>
      <c r="J130" s="6">
        <f t="shared" si="32"/>
        <v>7.0003573393827734E-2</v>
      </c>
      <c r="K130" s="2"/>
      <c r="L130" s="7">
        <f t="shared" si="33"/>
        <v>-17153.339999999997</v>
      </c>
      <c r="M130" s="2"/>
      <c r="N130" s="6">
        <f t="shared" si="34"/>
        <v>-0.6637914421244</v>
      </c>
      <c r="O130" s="11"/>
      <c r="P130" s="7">
        <v>27758.71</v>
      </c>
      <c r="Q130" s="2"/>
      <c r="R130" s="6">
        <f t="shared" si="35"/>
        <v>1.1976600655919352E-2</v>
      </c>
      <c r="S130" s="2"/>
      <c r="T130" s="7">
        <v>60732.5</v>
      </c>
      <c r="U130" s="2"/>
      <c r="V130" s="6">
        <f t="shared" si="36"/>
        <v>2.7682422148056326E-2</v>
      </c>
      <c r="W130" s="2"/>
      <c r="X130" s="7">
        <f t="shared" si="37"/>
        <v>-32973.79</v>
      </c>
      <c r="Y130" s="2"/>
      <c r="Z130" s="6">
        <f t="shared" si="38"/>
        <v>-0.54293483719590008</v>
      </c>
    </row>
    <row r="131" spans="1:26" s="24" customFormat="1" hidden="1" outlineLevel="2" x14ac:dyDescent="0.25">
      <c r="A131" s="28"/>
      <c r="B131" s="11" t="str">
        <f>CONCATENATE("          ", "6006", " - ", "TEMPORARY PART TIME")</f>
        <v xml:space="preserve">          6006 - TEMPORARY PART TIME</v>
      </c>
      <c r="C131" s="11"/>
      <c r="D131" s="7">
        <v>2957.46</v>
      </c>
      <c r="E131" s="2"/>
      <c r="F131" s="6">
        <f t="shared" si="31"/>
        <v>5.0602218171176359E-3</v>
      </c>
      <c r="G131" s="2"/>
      <c r="H131" s="7">
        <v>1728.86</v>
      </c>
      <c r="I131" s="2"/>
      <c r="J131" s="6">
        <f t="shared" si="32"/>
        <v>4.6834187347639424E-3</v>
      </c>
      <c r="K131" s="2"/>
      <c r="L131" s="7">
        <f t="shared" si="33"/>
        <v>1228.6000000000001</v>
      </c>
      <c r="M131" s="2"/>
      <c r="N131" s="6">
        <f t="shared" si="34"/>
        <v>0.71064169452702952</v>
      </c>
      <c r="O131" s="11"/>
      <c r="P131" s="7">
        <v>9095.65</v>
      </c>
      <c r="Q131" s="2"/>
      <c r="R131" s="6">
        <f t="shared" si="35"/>
        <v>3.9243526718645378E-3</v>
      </c>
      <c r="S131" s="2"/>
      <c r="T131" s="7">
        <v>5704.41</v>
      </c>
      <c r="U131" s="2"/>
      <c r="V131" s="6">
        <f t="shared" si="36"/>
        <v>2.6001216107618486E-3</v>
      </c>
      <c r="W131" s="2"/>
      <c r="X131" s="7">
        <f t="shared" si="37"/>
        <v>3391.24</v>
      </c>
      <c r="Y131" s="2"/>
      <c r="Z131" s="6">
        <f t="shared" si="38"/>
        <v>0.59449443500730137</v>
      </c>
    </row>
    <row r="132" spans="1:26" s="24" customFormat="1" hidden="1" outlineLevel="2" x14ac:dyDescent="0.25">
      <c r="A132" s="28"/>
      <c r="B132" s="11" t="str">
        <f>CONCATENATE("          ", "6007", " - ", "STUDENT HOURLY")</f>
        <v xml:space="preserve">          6007 - STUDENT HOURLY</v>
      </c>
      <c r="C132" s="11"/>
      <c r="D132" s="7">
        <v>51710.95</v>
      </c>
      <c r="E132" s="2"/>
      <c r="F132" s="6">
        <f t="shared" si="31"/>
        <v>8.8477571082577339E-2</v>
      </c>
      <c r="G132" s="2"/>
      <c r="H132" s="7">
        <v>18256.38</v>
      </c>
      <c r="I132" s="2"/>
      <c r="J132" s="6">
        <f t="shared" si="32"/>
        <v>4.9455868098613971E-2</v>
      </c>
      <c r="K132" s="2"/>
      <c r="L132" s="7">
        <f t="shared" si="33"/>
        <v>33454.569999999992</v>
      </c>
      <c r="M132" s="2"/>
      <c r="N132" s="6">
        <f t="shared" si="34"/>
        <v>1.8324865060871864</v>
      </c>
      <c r="O132" s="11"/>
      <c r="P132" s="7">
        <v>180177.28</v>
      </c>
      <c r="Q132" s="2"/>
      <c r="R132" s="6">
        <f t="shared" si="35"/>
        <v>7.7738170463604581E-2</v>
      </c>
      <c r="S132" s="2"/>
      <c r="T132" s="7">
        <v>102453.7</v>
      </c>
      <c r="U132" s="2"/>
      <c r="V132" s="6">
        <f t="shared" si="36"/>
        <v>4.6699322010954898E-2</v>
      </c>
      <c r="W132" s="2"/>
      <c r="X132" s="7">
        <f t="shared" si="37"/>
        <v>77723.58</v>
      </c>
      <c r="Y132" s="2"/>
      <c r="Z132" s="6">
        <f t="shared" si="38"/>
        <v>0.75862150415260754</v>
      </c>
    </row>
    <row r="133" spans="1:26" s="24" customFormat="1" hidden="1" outlineLevel="2" x14ac:dyDescent="0.25">
      <c r="A133" s="28"/>
      <c r="B133" s="11" t="str">
        <f>CONCATENATE("          ", "6008", " - ", "STUDENT HOURLY-FICA EXEMPT")</f>
        <v xml:space="preserve">          6008 - STUDENT HOURLY-FICA EXEMPT</v>
      </c>
      <c r="C133" s="11"/>
      <c r="D133" s="7">
        <v>9666.24</v>
      </c>
      <c r="E133" s="2"/>
      <c r="F133" s="6">
        <f t="shared" si="31"/>
        <v>1.6538961993567174E-2</v>
      </c>
      <c r="G133" s="2"/>
      <c r="H133" s="7">
        <v>1055.67</v>
      </c>
      <c r="I133" s="2"/>
      <c r="J133" s="6">
        <f t="shared" si="32"/>
        <v>2.859771557979392E-3</v>
      </c>
      <c r="K133" s="2"/>
      <c r="L133" s="7">
        <f t="shared" si="33"/>
        <v>8610.57</v>
      </c>
      <c r="M133" s="2"/>
      <c r="N133" s="6">
        <f t="shared" si="34"/>
        <v>8.1564977691892349</v>
      </c>
      <c r="O133" s="11"/>
      <c r="P133" s="7">
        <v>33729.89</v>
      </c>
      <c r="Q133" s="2"/>
      <c r="R133" s="6">
        <f t="shared" si="35"/>
        <v>1.4552888902189174E-2</v>
      </c>
      <c r="S133" s="2"/>
      <c r="T133" s="7">
        <v>1488.7</v>
      </c>
      <c r="U133" s="2"/>
      <c r="V133" s="6">
        <f t="shared" si="36"/>
        <v>6.7856290868664141E-4</v>
      </c>
      <c r="W133" s="2"/>
      <c r="X133" s="7">
        <f t="shared" si="37"/>
        <v>32241.19</v>
      </c>
      <c r="Y133" s="2"/>
      <c r="Z133" s="6">
        <f t="shared" si="38"/>
        <v>21.657278162154899</v>
      </c>
    </row>
    <row r="134" spans="1:26" s="27" customFormat="1" outlineLevel="1" collapsed="1" x14ac:dyDescent="0.25">
      <c r="A134" s="29"/>
      <c r="B134" s="14" t="str">
        <f>CONCATENATE("     ","Advertising/Promo                                 ")</f>
        <v xml:space="preserve">     Advertising/Promo                                 </v>
      </c>
      <c r="C134" s="14"/>
      <c r="D134" s="1">
        <f>SUM(OSRRefD22_2x_0)</f>
        <v>163.18</v>
      </c>
      <c r="E134" s="1"/>
      <c r="F134" s="5">
        <f t="shared" ref="F134:F142" si="39">IF(D$12=0,0,D134/D$12)</f>
        <v>2.7920140800459037E-4</v>
      </c>
      <c r="G134" s="1"/>
      <c r="H134" s="1">
        <f>SUM(OSRRefH22_2x_0)</f>
        <v>391.39</v>
      </c>
      <c r="I134" s="1"/>
      <c r="J134" s="5">
        <f t="shared" ref="J134:J142" si="40">IF(H$12=0,0,H134/H$12)</f>
        <v>1.0602612464856954E-3</v>
      </c>
      <c r="K134" s="1"/>
      <c r="L134" s="1">
        <f t="shared" ref="L134:L142" si="41">+D134-H134</f>
        <v>-228.20999999999998</v>
      </c>
      <c r="M134" s="1"/>
      <c r="N134" s="5">
        <f t="shared" ref="N134:N142" si="42">IF(H134=0,0,L134/H134)</f>
        <v>-0.58307570454022839</v>
      </c>
      <c r="O134" s="14"/>
      <c r="P134" s="1">
        <f>SUM(OSRRefP22_2x_0)</f>
        <v>2199.35</v>
      </c>
      <c r="Q134" s="1"/>
      <c r="R134" s="5">
        <f t="shared" ref="R134:R142" si="43">IF(P$12=0,0,P134/P$12)</f>
        <v>9.4891789469309735E-4</v>
      </c>
      <c r="S134" s="1"/>
      <c r="T134" s="1">
        <f>SUM(OSRRefT22_2x_0)</f>
        <v>12393.59</v>
      </c>
      <c r="U134" s="1"/>
      <c r="V134" s="5">
        <f t="shared" ref="V134:V142" si="44">IF(T$12=0,0,T134/T$12)</f>
        <v>5.6491102837842901E-3</v>
      </c>
      <c r="W134" s="1"/>
      <c r="X134" s="1">
        <f t="shared" ref="X134:X142" si="45">+P134-T134</f>
        <v>-10194.24</v>
      </c>
      <c r="Y134" s="1"/>
      <c r="Z134" s="5">
        <f t="shared" ref="Z134:Z142" si="46">IF(T134=0,0,X134/T134)</f>
        <v>-0.82254132983259887</v>
      </c>
    </row>
    <row r="135" spans="1:26" s="24" customFormat="1" hidden="1" outlineLevel="2" x14ac:dyDescent="0.25">
      <c r="A135" s="28"/>
      <c r="B135" s="11" t="str">
        <f>CONCATENATE("          ", "6362", " - ", "ADVERTISING EXPENSE")</f>
        <v xml:space="preserve">          6362 - ADVERTISING EXPENSE</v>
      </c>
      <c r="C135" s="11"/>
      <c r="D135" s="7">
        <v>163.18</v>
      </c>
      <c r="E135" s="2"/>
      <c r="F135" s="6">
        <f t="shared" si="39"/>
        <v>2.7920140800459037E-4</v>
      </c>
      <c r="G135" s="2"/>
      <c r="H135" s="7">
        <v>391.39</v>
      </c>
      <c r="I135" s="2"/>
      <c r="J135" s="6">
        <f t="shared" si="40"/>
        <v>1.0602612464856954E-3</v>
      </c>
      <c r="K135" s="2"/>
      <c r="L135" s="7">
        <f t="shared" si="41"/>
        <v>-228.20999999999998</v>
      </c>
      <c r="M135" s="2"/>
      <c r="N135" s="6">
        <f t="shared" si="42"/>
        <v>-0.58307570454022839</v>
      </c>
      <c r="O135" s="11"/>
      <c r="P135" s="7">
        <v>2199.35</v>
      </c>
      <c r="Q135" s="2"/>
      <c r="R135" s="6">
        <f t="shared" si="43"/>
        <v>9.4891789469309735E-4</v>
      </c>
      <c r="S135" s="2"/>
      <c r="T135" s="7">
        <v>12393.59</v>
      </c>
      <c r="U135" s="2"/>
      <c r="V135" s="6">
        <f t="shared" si="44"/>
        <v>5.6491102837842901E-3</v>
      </c>
      <c r="W135" s="2"/>
      <c r="X135" s="7">
        <f t="shared" si="45"/>
        <v>-10194.24</v>
      </c>
      <c r="Y135" s="2"/>
      <c r="Z135" s="6">
        <f t="shared" si="46"/>
        <v>-0.82254132983259887</v>
      </c>
    </row>
    <row r="136" spans="1:26" s="27" customFormat="1" outlineLevel="1" collapsed="1" x14ac:dyDescent="0.25">
      <c r="A136" s="29"/>
      <c r="B136" s="14" t="str">
        <f>CONCATENATE("     ","Bad Debts/Over/Short                              ")</f>
        <v xml:space="preserve">     Bad Debts/Over/Short                              </v>
      </c>
      <c r="C136" s="14"/>
      <c r="D136" s="1">
        <f>SUM(OSRRefD22_3x_0)</f>
        <v>96.88</v>
      </c>
      <c r="E136" s="1"/>
      <c r="F136" s="5">
        <f t="shared" si="39"/>
        <v>1.6576193410641445E-4</v>
      </c>
      <c r="G136" s="1"/>
      <c r="H136" s="1">
        <f>SUM(OSRRefH22_3x_0)</f>
        <v>8.2200000000000006</v>
      </c>
      <c r="I136" s="1"/>
      <c r="J136" s="5">
        <f t="shared" si="40"/>
        <v>2.2267680436680594E-5</v>
      </c>
      <c r="K136" s="1"/>
      <c r="L136" s="1">
        <f t="shared" si="41"/>
        <v>88.66</v>
      </c>
      <c r="M136" s="1"/>
      <c r="N136" s="5">
        <f t="shared" si="42"/>
        <v>10.78588807785888</v>
      </c>
      <c r="O136" s="14"/>
      <c r="P136" s="1">
        <f>SUM(OSRRefP22_3x_0)</f>
        <v>248.91</v>
      </c>
      <c r="Q136" s="1"/>
      <c r="R136" s="5">
        <f t="shared" si="43"/>
        <v>1.0739316305638433E-4</v>
      </c>
      <c r="S136" s="1"/>
      <c r="T136" s="1">
        <f>SUM(OSRRefT22_3x_0)</f>
        <v>80.010000000000005</v>
      </c>
      <c r="U136" s="1"/>
      <c r="V136" s="5">
        <f t="shared" si="44"/>
        <v>3.6469280798023904E-5</v>
      </c>
      <c r="W136" s="1"/>
      <c r="X136" s="1">
        <f t="shared" si="45"/>
        <v>168.89999999999998</v>
      </c>
      <c r="Y136" s="1"/>
      <c r="Z136" s="5">
        <f t="shared" si="46"/>
        <v>2.1109861267341579</v>
      </c>
    </row>
    <row r="137" spans="1:26" s="24" customFormat="1" hidden="1" outlineLevel="2" x14ac:dyDescent="0.25">
      <c r="A137" s="28"/>
      <c r="B137" s="11" t="str">
        <f>CONCATENATE("          ", "6272", " - ", "CASH (OVER/SHORT)")</f>
        <v xml:space="preserve">          6272 - CASH (OVER/SHORT)</v>
      </c>
      <c r="C137" s="11"/>
      <c r="D137" s="7">
        <v>96.88</v>
      </c>
      <c r="E137" s="2"/>
      <c r="F137" s="6">
        <f t="shared" si="39"/>
        <v>1.6576193410641445E-4</v>
      </c>
      <c r="G137" s="2"/>
      <c r="H137" s="7">
        <v>8.2200000000000006</v>
      </c>
      <c r="I137" s="2"/>
      <c r="J137" s="6">
        <f t="shared" si="40"/>
        <v>2.2267680436680594E-5</v>
      </c>
      <c r="K137" s="2"/>
      <c r="L137" s="7">
        <f t="shared" si="41"/>
        <v>88.66</v>
      </c>
      <c r="M137" s="2"/>
      <c r="N137" s="6">
        <f t="shared" si="42"/>
        <v>10.78588807785888</v>
      </c>
      <c r="O137" s="11"/>
      <c r="P137" s="7">
        <v>248.91</v>
      </c>
      <c r="Q137" s="2"/>
      <c r="R137" s="6">
        <f t="shared" si="43"/>
        <v>1.0739316305638433E-4</v>
      </c>
      <c r="S137" s="2"/>
      <c r="T137" s="7">
        <v>80.010000000000005</v>
      </c>
      <c r="U137" s="2"/>
      <c r="V137" s="6">
        <f t="shared" si="44"/>
        <v>3.6469280798023904E-5</v>
      </c>
      <c r="W137" s="2"/>
      <c r="X137" s="7">
        <f t="shared" si="45"/>
        <v>168.89999999999998</v>
      </c>
      <c r="Y137" s="2"/>
      <c r="Z137" s="6">
        <f t="shared" si="46"/>
        <v>2.1109861267341579</v>
      </c>
    </row>
    <row r="138" spans="1:26" s="27" customFormat="1" outlineLevel="1" collapsed="1" x14ac:dyDescent="0.25">
      <c r="A138" s="29"/>
      <c r="B138" s="14" t="str">
        <f>CONCATENATE("     ","Bank/card Fees                                    ")</f>
        <v xml:space="preserve">     Bank/card Fees                                    </v>
      </c>
      <c r="C138" s="14"/>
      <c r="D138" s="1">
        <f>SUM(OSRRefD22_4x_0)</f>
        <v>10623.99</v>
      </c>
      <c r="E138" s="1"/>
      <c r="F138" s="5">
        <f t="shared" si="39"/>
        <v>1.8177674755648288E-2</v>
      </c>
      <c r="G138" s="1"/>
      <c r="H138" s="1">
        <f>SUM(OSRRefH22_4x_0)</f>
        <v>9050.2199999999993</v>
      </c>
      <c r="I138" s="1"/>
      <c r="J138" s="5">
        <f t="shared" si="40"/>
        <v>2.451671616078533E-2</v>
      </c>
      <c r="K138" s="1"/>
      <c r="L138" s="1">
        <f t="shared" si="41"/>
        <v>1573.7700000000004</v>
      </c>
      <c r="M138" s="1"/>
      <c r="N138" s="5">
        <f t="shared" si="42"/>
        <v>0.1738930103356604</v>
      </c>
      <c r="O138" s="14"/>
      <c r="P138" s="1">
        <f>SUM(OSRRefP22_4x_0)</f>
        <v>37588.69</v>
      </c>
      <c r="Q138" s="1"/>
      <c r="R138" s="5">
        <f t="shared" si="43"/>
        <v>1.6217782789947705E-2</v>
      </c>
      <c r="S138" s="1"/>
      <c r="T138" s="1">
        <f>SUM(OSRRefT22_4x_0)</f>
        <v>34247.769999999997</v>
      </c>
      <c r="U138" s="1"/>
      <c r="V138" s="5">
        <f t="shared" si="44"/>
        <v>1.561044295508235E-2</v>
      </c>
      <c r="W138" s="1"/>
      <c r="X138" s="1">
        <f t="shared" si="45"/>
        <v>3340.9200000000055</v>
      </c>
      <c r="Y138" s="1"/>
      <c r="Z138" s="5">
        <f t="shared" si="46"/>
        <v>9.7551461014834126E-2</v>
      </c>
    </row>
    <row r="139" spans="1:26" s="24" customFormat="1" hidden="1" outlineLevel="2" x14ac:dyDescent="0.25">
      <c r="A139" s="28"/>
      <c r="B139" s="11" t="str">
        <f>CONCATENATE("          ", "6381", " - ", "BANK/CREDIT CARD FEES")</f>
        <v xml:space="preserve">          6381 - BANK/CREDIT CARD FEES</v>
      </c>
      <c r="C139" s="11"/>
      <c r="D139" s="7">
        <v>10623.99</v>
      </c>
      <c r="E139" s="2"/>
      <c r="F139" s="6">
        <f t="shared" si="39"/>
        <v>1.8177674755648288E-2</v>
      </c>
      <c r="G139" s="2"/>
      <c r="H139" s="7">
        <v>9050.2199999999993</v>
      </c>
      <c r="I139" s="2"/>
      <c r="J139" s="6">
        <f t="shared" si="40"/>
        <v>2.451671616078533E-2</v>
      </c>
      <c r="K139" s="2"/>
      <c r="L139" s="7">
        <f t="shared" si="41"/>
        <v>1573.7700000000004</v>
      </c>
      <c r="M139" s="2"/>
      <c r="N139" s="6">
        <f t="shared" si="42"/>
        <v>0.1738930103356604</v>
      </c>
      <c r="O139" s="11"/>
      <c r="P139" s="7">
        <v>37588.69</v>
      </c>
      <c r="Q139" s="2"/>
      <c r="R139" s="6">
        <f t="shared" si="43"/>
        <v>1.6217782789947705E-2</v>
      </c>
      <c r="S139" s="2"/>
      <c r="T139" s="7">
        <v>34247.769999999997</v>
      </c>
      <c r="U139" s="2"/>
      <c r="V139" s="6">
        <f t="shared" si="44"/>
        <v>1.561044295508235E-2</v>
      </c>
      <c r="W139" s="2"/>
      <c r="X139" s="7">
        <f t="shared" si="45"/>
        <v>3340.9200000000055</v>
      </c>
      <c r="Y139" s="2"/>
      <c r="Z139" s="6">
        <f t="shared" si="46"/>
        <v>9.7551461014834126E-2</v>
      </c>
    </row>
    <row r="140" spans="1:26" s="27" customFormat="1" outlineLevel="1" collapsed="1" x14ac:dyDescent="0.25">
      <c r="A140" s="29"/>
      <c r="B140" s="14" t="str">
        <f>CONCATENATE("     ","Depreciation                                      ")</f>
        <v xml:space="preserve">     Depreciation                                      </v>
      </c>
      <c r="C140" s="14"/>
      <c r="D140" s="1">
        <f>SUM(OSRRefD22_5x_0)</f>
        <v>30720.68</v>
      </c>
      <c r="E140" s="1"/>
      <c r="F140" s="5">
        <f t="shared" si="39"/>
        <v>5.2563164057227961E-2</v>
      </c>
      <c r="G140" s="1"/>
      <c r="H140" s="1">
        <f>SUM(OSRRefH22_5x_0)</f>
        <v>31066.84</v>
      </c>
      <c r="I140" s="1"/>
      <c r="J140" s="5">
        <f t="shared" si="40"/>
        <v>8.415893738412239E-2</v>
      </c>
      <c r="K140" s="1"/>
      <c r="L140" s="1">
        <f t="shared" si="41"/>
        <v>-346.15999999999985</v>
      </c>
      <c r="M140" s="1"/>
      <c r="N140" s="5">
        <f t="shared" si="42"/>
        <v>-1.1142427102338051E-2</v>
      </c>
      <c r="O140" s="14"/>
      <c r="P140" s="1">
        <f>SUM(OSRRefP22_5x_0)</f>
        <v>92162.040000000008</v>
      </c>
      <c r="Q140" s="1"/>
      <c r="R140" s="5">
        <f t="shared" si="43"/>
        <v>3.9763661521550024E-2</v>
      </c>
      <c r="S140" s="1"/>
      <c r="T140" s="1">
        <f>SUM(OSRRefT22_5x_0)</f>
        <v>92503.03</v>
      </c>
      <c r="U140" s="1"/>
      <c r="V140" s="5">
        <f t="shared" si="44"/>
        <v>4.2163716732133844E-2</v>
      </c>
      <c r="W140" s="1"/>
      <c r="X140" s="1">
        <f t="shared" si="45"/>
        <v>-340.98999999999069</v>
      </c>
      <c r="Y140" s="1"/>
      <c r="Z140" s="5">
        <f t="shared" si="46"/>
        <v>-3.6862576285337971E-3</v>
      </c>
    </row>
    <row r="141" spans="1:26" s="24" customFormat="1" hidden="1" outlineLevel="2" x14ac:dyDescent="0.25">
      <c r="A141" s="28"/>
      <c r="B141" s="11" t="str">
        <f>CONCATENATE("          ", "6321", " - ", "BUILDING DEPRECIATION")</f>
        <v xml:space="preserve">          6321 - BUILDING DEPRECIATION</v>
      </c>
      <c r="C141" s="11"/>
      <c r="D141" s="7">
        <v>16396.52</v>
      </c>
      <c r="E141" s="2"/>
      <c r="F141" s="6">
        <f t="shared" si="39"/>
        <v>2.8054488726409033E-2</v>
      </c>
      <c r="G141" s="2"/>
      <c r="H141" s="7">
        <v>16396.52</v>
      </c>
      <c r="I141" s="2"/>
      <c r="J141" s="6">
        <f t="shared" si="40"/>
        <v>4.4417575137912661E-2</v>
      </c>
      <c r="K141" s="2"/>
      <c r="L141" s="7">
        <f t="shared" si="41"/>
        <v>0</v>
      </c>
      <c r="M141" s="2"/>
      <c r="N141" s="6">
        <f t="shared" si="42"/>
        <v>0</v>
      </c>
      <c r="O141" s="11"/>
      <c r="P141" s="7">
        <v>49189.56</v>
      </c>
      <c r="Q141" s="2"/>
      <c r="R141" s="6">
        <f t="shared" si="43"/>
        <v>2.1223022127483025E-2</v>
      </c>
      <c r="S141" s="2"/>
      <c r="T141" s="7">
        <v>49189.56</v>
      </c>
      <c r="U141" s="2"/>
      <c r="V141" s="6">
        <f t="shared" si="44"/>
        <v>2.2421045818913191E-2</v>
      </c>
      <c r="W141" s="2"/>
      <c r="X141" s="7">
        <f t="shared" si="45"/>
        <v>0</v>
      </c>
      <c r="Y141" s="2"/>
      <c r="Z141" s="6">
        <f t="shared" si="46"/>
        <v>0</v>
      </c>
    </row>
    <row r="142" spans="1:26" s="24" customFormat="1" hidden="1" outlineLevel="2" x14ac:dyDescent="0.25">
      <c r="A142" s="28"/>
      <c r="B142" s="11" t="str">
        <f>CONCATENATE("          ", "6322", " - ", "EQUIPMENT DEPRECIATION EXPENSE")</f>
        <v xml:space="preserve">          6322 - EQUIPMENT DEPRECIATION EXPENSE</v>
      </c>
      <c r="C142" s="11"/>
      <c r="D142" s="7">
        <v>14324.16</v>
      </c>
      <c r="E142" s="2"/>
      <c r="F142" s="6">
        <f t="shared" si="39"/>
        <v>2.4508675330818928E-2</v>
      </c>
      <c r="G142" s="2"/>
      <c r="H142" s="7">
        <v>14670.32</v>
      </c>
      <c r="I142" s="2"/>
      <c r="J142" s="6">
        <f t="shared" si="40"/>
        <v>3.9741362246209735E-2</v>
      </c>
      <c r="K142" s="2"/>
      <c r="L142" s="7">
        <f t="shared" si="41"/>
        <v>-346.15999999999985</v>
      </c>
      <c r="M142" s="2"/>
      <c r="N142" s="6">
        <f t="shared" si="42"/>
        <v>-2.3595940647511429E-2</v>
      </c>
      <c r="O142" s="11"/>
      <c r="P142" s="7">
        <v>42972.480000000003</v>
      </c>
      <c r="Q142" s="2"/>
      <c r="R142" s="6">
        <f t="shared" si="43"/>
        <v>1.8540639394066992E-2</v>
      </c>
      <c r="S142" s="2"/>
      <c r="T142" s="7">
        <v>43313.47</v>
      </c>
      <c r="U142" s="2"/>
      <c r="V142" s="6">
        <f t="shared" si="44"/>
        <v>1.9742670913220652E-2</v>
      </c>
      <c r="W142" s="2"/>
      <c r="X142" s="7">
        <f t="shared" si="45"/>
        <v>-340.98999999999796</v>
      </c>
      <c r="Y142" s="2"/>
      <c r="Z142" s="6">
        <f t="shared" si="46"/>
        <v>-7.8726086827030466E-3</v>
      </c>
    </row>
    <row r="143" spans="1:26" s="27" customFormat="1" outlineLevel="1" collapsed="1" x14ac:dyDescent="0.25">
      <c r="A143" s="29"/>
      <c r="B143" s="14" t="str">
        <f>CONCATENATE("     ","Discounts and Markdowns                           ")</f>
        <v xml:space="preserve">     Discounts and Markdowns                           </v>
      </c>
      <c r="C143" s="14"/>
      <c r="D143" s="1">
        <f>SUM(OSRRefD22_6x_0)</f>
        <v>135.49</v>
      </c>
      <c r="E143" s="1"/>
      <c r="F143" s="5">
        <f t="shared" ref="F143:F145" si="47">IF(D$12=0,0,D143/D$12)</f>
        <v>2.3182374537652868E-4</v>
      </c>
      <c r="G143" s="1"/>
      <c r="H143" s="1">
        <f>SUM(OSRRefH22_6x_0)</f>
        <v>830.95</v>
      </c>
      <c r="I143" s="1"/>
      <c r="J143" s="5">
        <f t="shared" ref="J143:J145" si="48">IF(H$12=0,0,H143/H$12)</f>
        <v>2.2510132675011849E-3</v>
      </c>
      <c r="K143" s="1"/>
      <c r="L143" s="1">
        <f t="shared" ref="L143:L145" si="49">+D143-H143</f>
        <v>-695.46</v>
      </c>
      <c r="M143" s="1"/>
      <c r="N143" s="5">
        <f t="shared" ref="N143:N145" si="50">IF(H143=0,0,L143/H143)</f>
        <v>-0.83694566460075814</v>
      </c>
      <c r="O143" s="14"/>
      <c r="P143" s="1">
        <f>SUM(OSRRefP22_6x_0)</f>
        <v>-22.49</v>
      </c>
      <c r="Q143" s="1"/>
      <c r="R143" s="5">
        <f t="shared" ref="R143:R145" si="51">IF(P$12=0,0,P143/P$12)</f>
        <v>-9.7033957540399484E-6</v>
      </c>
      <c r="S143" s="1"/>
      <c r="T143" s="1">
        <f>SUM(OSRRefT22_6x_0)</f>
        <v>830.95</v>
      </c>
      <c r="U143" s="1"/>
      <c r="V143" s="5">
        <f t="shared" ref="V143:V145" si="52">IF(T$12=0,0,T143/T$12)</f>
        <v>3.787545166743902E-4</v>
      </c>
      <c r="W143" s="1"/>
      <c r="X143" s="1">
        <f t="shared" ref="X143:X145" si="53">+P143-T143</f>
        <v>-853.44</v>
      </c>
      <c r="Y143" s="1"/>
      <c r="Z143" s="5">
        <f t="shared" ref="Z143:Z145" si="54">IF(T143=0,0,X143/T143)</f>
        <v>-1.0270654070642036</v>
      </c>
    </row>
    <row r="144" spans="1:26" s="24" customFormat="1" hidden="1" outlineLevel="2" x14ac:dyDescent="0.25">
      <c r="A144" s="28"/>
      <c r="B144" s="11" t="str">
        <f>CONCATENATE("          ", "6382", " - ", "DISCOUNTS/MARK DOWNS")</f>
        <v xml:space="preserve">          6382 - DISCOUNTS/MARK DOWNS</v>
      </c>
      <c r="C144" s="11"/>
      <c r="D144" s="7"/>
      <c r="E144" s="2"/>
      <c r="F144" s="6">
        <f t="shared" si="47"/>
        <v>0</v>
      </c>
      <c r="G144" s="2"/>
      <c r="H144" s="7">
        <v>830.95</v>
      </c>
      <c r="I144" s="2"/>
      <c r="J144" s="6">
        <f t="shared" si="48"/>
        <v>2.2510132675011849E-3</v>
      </c>
      <c r="K144" s="2"/>
      <c r="L144" s="7">
        <f t="shared" si="49"/>
        <v>-830.95</v>
      </c>
      <c r="M144" s="2"/>
      <c r="N144" s="6">
        <f t="shared" si="50"/>
        <v>-1</v>
      </c>
      <c r="O144" s="11"/>
      <c r="P144" s="7"/>
      <c r="Q144" s="2"/>
      <c r="R144" s="6">
        <f t="shared" si="51"/>
        <v>0</v>
      </c>
      <c r="S144" s="2"/>
      <c r="T144" s="7">
        <v>830.95</v>
      </c>
      <c r="U144" s="2"/>
      <c r="V144" s="6">
        <f t="shared" si="52"/>
        <v>3.787545166743902E-4</v>
      </c>
      <c r="W144" s="2"/>
      <c r="X144" s="7">
        <f t="shared" si="53"/>
        <v>-830.95</v>
      </c>
      <c r="Y144" s="2"/>
      <c r="Z144" s="6">
        <f t="shared" si="54"/>
        <v>-1</v>
      </c>
    </row>
    <row r="145" spans="1:26" s="24" customFormat="1" hidden="1" outlineLevel="2" x14ac:dyDescent="0.25">
      <c r="A145" s="28"/>
      <c r="B145" s="11" t="str">
        <f>CONCATENATE("          ", "9175", " - ", "EARNED DISCOUNTS")</f>
        <v xml:space="preserve">          9175 - EARNED DISCOUNTS</v>
      </c>
      <c r="C145" s="11"/>
      <c r="D145" s="7">
        <v>135.49</v>
      </c>
      <c r="E145" s="2"/>
      <c r="F145" s="6">
        <f t="shared" si="47"/>
        <v>2.3182374537652868E-4</v>
      </c>
      <c r="G145" s="2"/>
      <c r="H145" s="7"/>
      <c r="I145" s="2"/>
      <c r="J145" s="6">
        <f t="shared" si="48"/>
        <v>0</v>
      </c>
      <c r="K145" s="2"/>
      <c r="L145" s="7">
        <f t="shared" si="49"/>
        <v>135.49</v>
      </c>
      <c r="M145" s="2"/>
      <c r="N145" s="6">
        <f t="shared" si="50"/>
        <v>0</v>
      </c>
      <c r="O145" s="11"/>
      <c r="P145" s="7">
        <v>-22.49</v>
      </c>
      <c r="Q145" s="2"/>
      <c r="R145" s="6">
        <f t="shared" si="51"/>
        <v>-9.7033957540399484E-6</v>
      </c>
      <c r="S145" s="2"/>
      <c r="T145" s="7"/>
      <c r="U145" s="2"/>
      <c r="V145" s="6">
        <f t="shared" si="52"/>
        <v>0</v>
      </c>
      <c r="W145" s="2"/>
      <c r="X145" s="7">
        <f t="shared" si="53"/>
        <v>-22.49</v>
      </c>
      <c r="Y145" s="2"/>
      <c r="Z145" s="6">
        <f t="shared" si="54"/>
        <v>0</v>
      </c>
    </row>
    <row r="146" spans="1:26" s="27" customFormat="1" outlineLevel="1" collapsed="1" x14ac:dyDescent="0.25">
      <c r="A146" s="29"/>
      <c r="B146" s="14" t="str">
        <f>CONCATENATE("     ","Employees' Appreciation                           ")</f>
        <v xml:space="preserve">     Employees' Appreciation                           </v>
      </c>
      <c r="C146" s="14"/>
      <c r="D146" s="1">
        <f>SUM(OSRRefD22_7x_0)</f>
        <v>447.27</v>
      </c>
      <c r="E146" s="1"/>
      <c r="F146" s="5">
        <f t="shared" ref="F146:F152" si="55">IF(D$12=0,0,D146/D$12)</f>
        <v>7.6528014314384803E-4</v>
      </c>
      <c r="G146" s="1"/>
      <c r="H146" s="1">
        <f>SUM(OSRRefH22_7x_0)</f>
        <v>0</v>
      </c>
      <c r="I146" s="1"/>
      <c r="J146" s="5">
        <f t="shared" ref="J146:J152" si="56">IF(H$12=0,0,H146/H$12)</f>
        <v>0</v>
      </c>
      <c r="K146" s="1"/>
      <c r="L146" s="1">
        <f t="shared" ref="L146:L152" si="57">+D146-H146</f>
        <v>447.27</v>
      </c>
      <c r="M146" s="1"/>
      <c r="N146" s="5">
        <f t="shared" ref="N146:N152" si="58">IF(H146=0,0,L146/H146)</f>
        <v>0</v>
      </c>
      <c r="O146" s="14"/>
      <c r="P146" s="1">
        <f>SUM(OSRRefP22_7x_0)</f>
        <v>1384.63</v>
      </c>
      <c r="Q146" s="1"/>
      <c r="R146" s="5">
        <f t="shared" ref="R146:R152" si="59">IF(P$12=0,0,P146/P$12)</f>
        <v>5.9740386229063293E-4</v>
      </c>
      <c r="S146" s="1"/>
      <c r="T146" s="1">
        <f>SUM(OSRRefT22_7x_0)</f>
        <v>107.7</v>
      </c>
      <c r="U146" s="1"/>
      <c r="V146" s="5">
        <f t="shared" ref="V146:V152" si="60">IF(T$12=0,0,T146/T$12)</f>
        <v>4.9090632945221523E-5</v>
      </c>
      <c r="W146" s="1"/>
      <c r="X146" s="1">
        <f t="shared" ref="X146:X152" si="61">+P146-T146</f>
        <v>1276.93</v>
      </c>
      <c r="Y146" s="1"/>
      <c r="Z146" s="5">
        <f t="shared" ref="Z146:Z152" si="62">IF(T146=0,0,X146/T146)</f>
        <v>11.856360259981431</v>
      </c>
    </row>
    <row r="147" spans="1:26" s="24" customFormat="1" hidden="1" outlineLevel="2" x14ac:dyDescent="0.25">
      <c r="A147" s="28"/>
      <c r="B147" s="11" t="str">
        <f>CONCATENATE("          ", "6277", " - ", "EMPLOYEE APPRECIATION")</f>
        <v xml:space="preserve">          6277 - EMPLOYEE APPRECIATION</v>
      </c>
      <c r="C147" s="11"/>
      <c r="D147" s="7">
        <v>447.27</v>
      </c>
      <c r="E147" s="2"/>
      <c r="F147" s="6">
        <f t="shared" si="55"/>
        <v>7.6528014314384803E-4</v>
      </c>
      <c r="G147" s="2"/>
      <c r="H147" s="7"/>
      <c r="I147" s="2"/>
      <c r="J147" s="6">
        <f t="shared" si="56"/>
        <v>0</v>
      </c>
      <c r="K147" s="2"/>
      <c r="L147" s="7">
        <f t="shared" si="57"/>
        <v>447.27</v>
      </c>
      <c r="M147" s="2"/>
      <c r="N147" s="6">
        <f t="shared" si="58"/>
        <v>0</v>
      </c>
      <c r="O147" s="11"/>
      <c r="P147" s="7">
        <v>1384.63</v>
      </c>
      <c r="Q147" s="2"/>
      <c r="R147" s="6">
        <f t="shared" si="59"/>
        <v>5.9740386229063293E-4</v>
      </c>
      <c r="S147" s="2"/>
      <c r="T147" s="7">
        <v>107.7</v>
      </c>
      <c r="U147" s="2"/>
      <c r="V147" s="6">
        <f t="shared" si="60"/>
        <v>4.9090632945221523E-5</v>
      </c>
      <c r="W147" s="2"/>
      <c r="X147" s="7">
        <f t="shared" si="61"/>
        <v>1276.93</v>
      </c>
      <c r="Y147" s="2"/>
      <c r="Z147" s="6">
        <f t="shared" si="62"/>
        <v>11.856360259981431</v>
      </c>
    </row>
    <row r="148" spans="1:26" s="27" customFormat="1" outlineLevel="1" collapsed="1" x14ac:dyDescent="0.25">
      <c r="A148" s="29"/>
      <c r="B148" s="14" t="str">
        <f>CONCATENATE("     ","Equipment Rental                                  ")</f>
        <v xml:space="preserve">     Equipment Rental                                  </v>
      </c>
      <c r="C148" s="14"/>
      <c r="D148" s="1">
        <f>SUM(OSRRefD22_8x_0)</f>
        <v>1388.16</v>
      </c>
      <c r="E148" s="1"/>
      <c r="F148" s="5">
        <f t="shared" si="55"/>
        <v>2.3751454010028936E-3</v>
      </c>
      <c r="G148" s="1"/>
      <c r="H148" s="1">
        <f>SUM(OSRRefH22_8x_0)</f>
        <v>1712.05</v>
      </c>
      <c r="I148" s="1"/>
      <c r="J148" s="5">
        <f t="shared" si="56"/>
        <v>4.6378810573745747E-3</v>
      </c>
      <c r="K148" s="1"/>
      <c r="L148" s="1">
        <f t="shared" si="57"/>
        <v>-323.88999999999987</v>
      </c>
      <c r="M148" s="1"/>
      <c r="N148" s="5">
        <f t="shared" si="58"/>
        <v>-0.18918255892059221</v>
      </c>
      <c r="O148" s="14"/>
      <c r="P148" s="1">
        <f>SUM(OSRRefP22_8x_0)</f>
        <v>5080.05</v>
      </c>
      <c r="Q148" s="1"/>
      <c r="R148" s="5">
        <f t="shared" si="59"/>
        <v>2.1918068297159025E-3</v>
      </c>
      <c r="S148" s="1"/>
      <c r="T148" s="1">
        <f>SUM(OSRRefT22_8x_0)</f>
        <v>4488.37</v>
      </c>
      <c r="U148" s="1"/>
      <c r="V148" s="5">
        <f t="shared" si="60"/>
        <v>2.0458395932436762E-3</v>
      </c>
      <c r="W148" s="1"/>
      <c r="X148" s="1">
        <f t="shared" si="61"/>
        <v>591.68000000000029</v>
      </c>
      <c r="Y148" s="1"/>
      <c r="Z148" s="5">
        <f t="shared" si="62"/>
        <v>0.13182513919307015</v>
      </c>
    </row>
    <row r="149" spans="1:26" s="24" customFormat="1" hidden="1" outlineLevel="2" x14ac:dyDescent="0.25">
      <c r="A149" s="28"/>
      <c r="B149" s="11" t="str">
        <f>CONCATENATE("          ", "6351", " - ", "EQUIPMENT RENTAL")</f>
        <v xml:space="preserve">          6351 - EQUIPMENT RENTAL</v>
      </c>
      <c r="C149" s="11"/>
      <c r="D149" s="7">
        <v>1388.16</v>
      </c>
      <c r="E149" s="2"/>
      <c r="F149" s="6">
        <f t="shared" si="55"/>
        <v>2.3751454010028936E-3</v>
      </c>
      <c r="G149" s="2"/>
      <c r="H149" s="7">
        <v>1712.05</v>
      </c>
      <c r="I149" s="2"/>
      <c r="J149" s="6">
        <f t="shared" si="56"/>
        <v>4.6378810573745747E-3</v>
      </c>
      <c r="K149" s="2"/>
      <c r="L149" s="7">
        <f t="shared" si="57"/>
        <v>-323.88999999999987</v>
      </c>
      <c r="M149" s="2"/>
      <c r="N149" s="6">
        <f t="shared" si="58"/>
        <v>-0.18918255892059221</v>
      </c>
      <c r="O149" s="11"/>
      <c r="P149" s="7">
        <v>5080.05</v>
      </c>
      <c r="Q149" s="2"/>
      <c r="R149" s="6">
        <f t="shared" si="59"/>
        <v>2.1918068297159025E-3</v>
      </c>
      <c r="S149" s="2"/>
      <c r="T149" s="7">
        <v>4488.37</v>
      </c>
      <c r="U149" s="2"/>
      <c r="V149" s="6">
        <f t="shared" si="60"/>
        <v>2.0458395932436762E-3</v>
      </c>
      <c r="W149" s="2"/>
      <c r="X149" s="7">
        <f t="shared" si="61"/>
        <v>591.68000000000029</v>
      </c>
      <c r="Y149" s="2"/>
      <c r="Z149" s="6">
        <f t="shared" si="62"/>
        <v>0.13182513919307015</v>
      </c>
    </row>
    <row r="150" spans="1:26" s="27" customFormat="1" outlineLevel="1" collapsed="1" x14ac:dyDescent="0.25">
      <c r="A150" s="29"/>
      <c r="B150" s="14" t="str">
        <f>CONCATENATE("     ","Freight out/Postage                               ")</f>
        <v xml:space="preserve">     Freight out/Postage                               </v>
      </c>
      <c r="C150" s="14"/>
      <c r="D150" s="1">
        <f>SUM(OSRRefD22_9x_0)</f>
        <v>3653.1299999999992</v>
      </c>
      <c r="E150" s="1"/>
      <c r="F150" s="5">
        <f t="shared" si="55"/>
        <v>6.2505150117894894E-3</v>
      </c>
      <c r="G150" s="1"/>
      <c r="H150" s="1">
        <f>SUM(OSRRefH22_9x_0)</f>
        <v>-5939.64</v>
      </c>
      <c r="I150" s="1"/>
      <c r="J150" s="5">
        <f t="shared" si="56"/>
        <v>-1.6090268300355901E-2</v>
      </c>
      <c r="K150" s="1"/>
      <c r="L150" s="1">
        <f t="shared" si="57"/>
        <v>9592.77</v>
      </c>
      <c r="M150" s="1"/>
      <c r="N150" s="5">
        <f t="shared" si="58"/>
        <v>-1.615042325797523</v>
      </c>
      <c r="O150" s="14"/>
      <c r="P150" s="1">
        <f>SUM(OSRRefP22_9x_0)</f>
        <v>-12129.8</v>
      </c>
      <c r="Q150" s="1"/>
      <c r="R150" s="5">
        <f t="shared" si="59"/>
        <v>-5.2334481910784238E-3</v>
      </c>
      <c r="S150" s="1"/>
      <c r="T150" s="1">
        <f>SUM(OSRRefT22_9x_0)</f>
        <v>-80751.510000000009</v>
      </c>
      <c r="U150" s="1"/>
      <c r="V150" s="5">
        <f t="shared" si="60"/>
        <v>-3.6807267754711104E-2</v>
      </c>
      <c r="W150" s="1"/>
      <c r="X150" s="1">
        <f t="shared" si="61"/>
        <v>68621.710000000006</v>
      </c>
      <c r="Y150" s="1"/>
      <c r="Z150" s="5">
        <f t="shared" si="62"/>
        <v>-0.849788567421216</v>
      </c>
    </row>
    <row r="151" spans="1:26" s="24" customFormat="1" hidden="1" outlineLevel="2" x14ac:dyDescent="0.25">
      <c r="A151" s="28"/>
      <c r="B151" s="11" t="str">
        <f>CONCATENATE("          ", "6305", " - ", "FREIGHT OUT")</f>
        <v xml:space="preserve">          6305 - FREIGHT OUT</v>
      </c>
      <c r="C151" s="11"/>
      <c r="D151" s="7">
        <v>13290.66</v>
      </c>
      <c r="E151" s="2"/>
      <c r="F151" s="6">
        <f t="shared" si="55"/>
        <v>2.2740354120053246E-2</v>
      </c>
      <c r="G151" s="2"/>
      <c r="H151" s="7">
        <v>5328.45</v>
      </c>
      <c r="I151" s="2"/>
      <c r="J151" s="6">
        <f t="shared" si="56"/>
        <v>1.4434576864091326E-2</v>
      </c>
      <c r="K151" s="2"/>
      <c r="L151" s="7">
        <f t="shared" si="57"/>
        <v>7962.21</v>
      </c>
      <c r="M151" s="2"/>
      <c r="N151" s="6">
        <f t="shared" si="58"/>
        <v>1.4942825774850097</v>
      </c>
      <c r="O151" s="11"/>
      <c r="P151" s="7">
        <v>28579.81</v>
      </c>
      <c r="Q151" s="2"/>
      <c r="R151" s="6">
        <f t="shared" si="59"/>
        <v>1.2330867363506824E-2</v>
      </c>
      <c r="S151" s="2"/>
      <c r="T151" s="7">
        <v>25658.06</v>
      </c>
      <c r="U151" s="2"/>
      <c r="V151" s="6">
        <f t="shared" si="60"/>
        <v>1.1695175538964445E-2</v>
      </c>
      <c r="W151" s="2"/>
      <c r="X151" s="7">
        <f t="shared" si="61"/>
        <v>2921.75</v>
      </c>
      <c r="Y151" s="2"/>
      <c r="Z151" s="6">
        <f t="shared" si="62"/>
        <v>0.11387259987699772</v>
      </c>
    </row>
    <row r="152" spans="1:26" s="24" customFormat="1" hidden="1" outlineLevel="2" x14ac:dyDescent="0.25">
      <c r="A152" s="28"/>
      <c r="B152" s="11" t="str">
        <f>CONCATENATE("          ", "6307", " - ", "POSTAGE")</f>
        <v xml:space="preserve">          6307 - POSTAGE</v>
      </c>
      <c r="C152" s="11"/>
      <c r="D152" s="7">
        <v>-9637.5300000000007</v>
      </c>
      <c r="E152" s="2"/>
      <c r="F152" s="6">
        <f t="shared" si="55"/>
        <v>-1.6489839108263758E-2</v>
      </c>
      <c r="G152" s="2"/>
      <c r="H152" s="7">
        <v>-11268.09</v>
      </c>
      <c r="I152" s="2"/>
      <c r="J152" s="6">
        <f t="shared" si="56"/>
        <v>-3.0524845164447229E-2</v>
      </c>
      <c r="K152" s="2"/>
      <c r="L152" s="7">
        <f t="shared" si="57"/>
        <v>1630.5599999999995</v>
      </c>
      <c r="M152" s="2"/>
      <c r="N152" s="6">
        <f t="shared" si="58"/>
        <v>-0.14470597945170827</v>
      </c>
      <c r="O152" s="11"/>
      <c r="P152" s="7">
        <v>-40709.61</v>
      </c>
      <c r="Q152" s="2"/>
      <c r="R152" s="6">
        <f t="shared" si="59"/>
        <v>-1.756431555458525E-2</v>
      </c>
      <c r="S152" s="2"/>
      <c r="T152" s="7">
        <v>-106409.57</v>
      </c>
      <c r="U152" s="2"/>
      <c r="V152" s="6">
        <f t="shared" si="60"/>
        <v>-4.8502443293675548E-2</v>
      </c>
      <c r="W152" s="2"/>
      <c r="X152" s="7">
        <f t="shared" si="61"/>
        <v>65699.960000000006</v>
      </c>
      <c r="Y152" s="2"/>
      <c r="Z152" s="6">
        <f t="shared" si="62"/>
        <v>-0.61742529360846021</v>
      </c>
    </row>
    <row r="153" spans="1:26" s="27" customFormat="1" outlineLevel="1" collapsed="1" x14ac:dyDescent="0.25">
      <c r="A153" s="29"/>
      <c r="B153" s="14" t="str">
        <f>CONCATENATE("     ","General                                           ")</f>
        <v xml:space="preserve">     General                                           </v>
      </c>
      <c r="C153" s="14"/>
      <c r="D153" s="1">
        <f>SUM(OSRRefD22_10x_0)</f>
        <v>91.31</v>
      </c>
      <c r="E153" s="1"/>
      <c r="F153" s="5">
        <f t="shared" ref="F153:F159" si="63">IF(D$12=0,0,D153/D$12)</f>
        <v>1.5623164949686938E-4</v>
      </c>
      <c r="G153" s="1"/>
      <c r="H153" s="1">
        <f>SUM(OSRRefH22_10x_0)</f>
        <v>0</v>
      </c>
      <c r="I153" s="1"/>
      <c r="J153" s="5">
        <f t="shared" ref="J153:J159" si="64">IF(H$12=0,0,H153/H$12)</f>
        <v>0</v>
      </c>
      <c r="K153" s="1"/>
      <c r="L153" s="1">
        <f t="shared" ref="L153:L159" si="65">+D153-H153</f>
        <v>91.31</v>
      </c>
      <c r="M153" s="1"/>
      <c r="N153" s="5">
        <f t="shared" ref="N153:N159" si="66">IF(H153=0,0,L153/H153)</f>
        <v>0</v>
      </c>
      <c r="O153" s="14"/>
      <c r="P153" s="1">
        <f>SUM(OSRRefP22_10x_0)</f>
        <v>1866.6</v>
      </c>
      <c r="Q153" s="1"/>
      <c r="R153" s="5">
        <f t="shared" ref="R153:R159" si="67">IF(P$12=0,0,P153/P$12)</f>
        <v>8.0535164581996299E-4</v>
      </c>
      <c r="S153" s="1"/>
      <c r="T153" s="1">
        <f>SUM(OSRRefT22_10x_0)</f>
        <v>-3206.83</v>
      </c>
      <c r="U153" s="1"/>
      <c r="V153" s="5">
        <f t="shared" ref="V153:V159" si="68">IF(T$12=0,0,T153/T$12)</f>
        <v>-1.4617020840085862E-3</v>
      </c>
      <c r="W153" s="1"/>
      <c r="X153" s="1">
        <f t="shared" ref="X153:X159" si="69">+P153-T153</f>
        <v>5073.43</v>
      </c>
      <c r="Y153" s="1"/>
      <c r="Z153" s="5">
        <f t="shared" ref="Z153:Z159" si="70">IF(T153=0,0,X153/T153)</f>
        <v>-1.5820701440363225</v>
      </c>
    </row>
    <row r="154" spans="1:26" s="24" customFormat="1" hidden="1" outlineLevel="2" x14ac:dyDescent="0.25">
      <c r="A154" s="28"/>
      <c r="B154" s="11" t="str">
        <f>CONCATENATE("          ", "6279", " - ", "GENERAL EXPENSE")</f>
        <v xml:space="preserve">          6279 - GENERAL EXPENSE</v>
      </c>
      <c r="C154" s="11"/>
      <c r="D154" s="7">
        <v>91.31</v>
      </c>
      <c r="E154" s="2"/>
      <c r="F154" s="6">
        <f t="shared" si="63"/>
        <v>1.5623164949686938E-4</v>
      </c>
      <c r="G154" s="2"/>
      <c r="H154" s="7"/>
      <c r="I154" s="2"/>
      <c r="J154" s="6">
        <f t="shared" si="64"/>
        <v>0</v>
      </c>
      <c r="K154" s="2"/>
      <c r="L154" s="7">
        <f t="shared" si="65"/>
        <v>91.31</v>
      </c>
      <c r="M154" s="2"/>
      <c r="N154" s="6">
        <f t="shared" si="66"/>
        <v>0</v>
      </c>
      <c r="O154" s="11"/>
      <c r="P154" s="7">
        <v>1866.6</v>
      </c>
      <c r="Q154" s="2"/>
      <c r="R154" s="6">
        <f t="shared" si="67"/>
        <v>8.0535164581996299E-4</v>
      </c>
      <c r="S154" s="2"/>
      <c r="T154" s="7">
        <v>-3206.83</v>
      </c>
      <c r="U154" s="2"/>
      <c r="V154" s="6">
        <f t="shared" si="68"/>
        <v>-1.4617020840085862E-3</v>
      </c>
      <c r="W154" s="2"/>
      <c r="X154" s="7">
        <f t="shared" si="69"/>
        <v>5073.43</v>
      </c>
      <c r="Y154" s="2"/>
      <c r="Z154" s="6">
        <f t="shared" si="70"/>
        <v>-1.5820701440363225</v>
      </c>
    </row>
    <row r="155" spans="1:26" s="27" customFormat="1" outlineLevel="1" collapsed="1" x14ac:dyDescent="0.25">
      <c r="A155" s="29"/>
      <c r="B155" s="14" t="str">
        <f>CONCATENATE("     ","Insurance                                         ")</f>
        <v xml:space="preserve">     Insurance                                         </v>
      </c>
      <c r="C155" s="14"/>
      <c r="D155" s="1">
        <f>SUM(OSRRefD22_11x_0)</f>
        <v>5494.57</v>
      </c>
      <c r="E155" s="1"/>
      <c r="F155" s="5">
        <f t="shared" si="63"/>
        <v>9.401223681699853E-3</v>
      </c>
      <c r="G155" s="1"/>
      <c r="H155" s="1">
        <f>SUM(OSRRefH22_11x_0)</f>
        <v>4044.74</v>
      </c>
      <c r="I155" s="1"/>
      <c r="J155" s="5">
        <f t="shared" si="64"/>
        <v>1.0957053256625238E-2</v>
      </c>
      <c r="K155" s="1"/>
      <c r="L155" s="1">
        <f t="shared" si="65"/>
        <v>1449.83</v>
      </c>
      <c r="M155" s="1"/>
      <c r="N155" s="5">
        <f t="shared" si="66"/>
        <v>0.35844825625380122</v>
      </c>
      <c r="O155" s="14"/>
      <c r="P155" s="1">
        <f>SUM(OSRRefP22_11x_0)</f>
        <v>16483.71</v>
      </c>
      <c r="Q155" s="1"/>
      <c r="R155" s="5">
        <f t="shared" si="67"/>
        <v>7.1119591651767821E-3</v>
      </c>
      <c r="S155" s="1"/>
      <c r="T155" s="1">
        <f>SUM(OSRRefT22_11x_0)</f>
        <v>12134.22</v>
      </c>
      <c r="U155" s="1"/>
      <c r="V155" s="5">
        <f t="shared" si="68"/>
        <v>5.5308870946756353E-3</v>
      </c>
      <c r="W155" s="1"/>
      <c r="X155" s="1">
        <f t="shared" si="69"/>
        <v>4349.49</v>
      </c>
      <c r="Y155" s="1"/>
      <c r="Z155" s="5">
        <f t="shared" si="70"/>
        <v>0.35844825625380122</v>
      </c>
    </row>
    <row r="156" spans="1:26" s="24" customFormat="1" hidden="1" outlineLevel="2" x14ac:dyDescent="0.25">
      <c r="A156" s="28"/>
      <c r="B156" s="11" t="str">
        <f>CONCATENATE("          ", "6314", " - ", "LIABILITY INSURANCE")</f>
        <v xml:space="preserve">          6314 - LIABILITY INSURANCE</v>
      </c>
      <c r="C156" s="11"/>
      <c r="D156" s="7">
        <v>5494.57</v>
      </c>
      <c r="E156" s="2"/>
      <c r="F156" s="6">
        <f t="shared" si="63"/>
        <v>9.401223681699853E-3</v>
      </c>
      <c r="G156" s="2"/>
      <c r="H156" s="7">
        <v>4044.74</v>
      </c>
      <c r="I156" s="2"/>
      <c r="J156" s="6">
        <f t="shared" si="64"/>
        <v>1.0957053256625238E-2</v>
      </c>
      <c r="K156" s="2"/>
      <c r="L156" s="7">
        <f t="shared" si="65"/>
        <v>1449.83</v>
      </c>
      <c r="M156" s="2"/>
      <c r="N156" s="6">
        <f t="shared" si="66"/>
        <v>0.35844825625380122</v>
      </c>
      <c r="O156" s="11"/>
      <c r="P156" s="7">
        <v>16483.71</v>
      </c>
      <c r="Q156" s="2"/>
      <c r="R156" s="6">
        <f t="shared" si="67"/>
        <v>7.1119591651767821E-3</v>
      </c>
      <c r="S156" s="2"/>
      <c r="T156" s="7">
        <v>12134.22</v>
      </c>
      <c r="U156" s="2"/>
      <c r="V156" s="6">
        <f t="shared" si="68"/>
        <v>5.5308870946756353E-3</v>
      </c>
      <c r="W156" s="2"/>
      <c r="X156" s="7">
        <f t="shared" si="69"/>
        <v>4349.49</v>
      </c>
      <c r="Y156" s="2"/>
      <c r="Z156" s="6">
        <f t="shared" si="70"/>
        <v>0.35844825625380122</v>
      </c>
    </row>
    <row r="157" spans="1:26" s="27" customFormat="1" outlineLevel="1" collapsed="1" x14ac:dyDescent="0.25">
      <c r="A157" s="29"/>
      <c r="B157" s="14" t="str">
        <f>CONCATENATE("     ","Inventory Adjustment                              ")</f>
        <v xml:space="preserve">     Inventory Adjustment                              </v>
      </c>
      <c r="C157" s="14"/>
      <c r="D157" s="1">
        <f>SUM(OSRRefD22_12x_0)</f>
        <v>5100</v>
      </c>
      <c r="E157" s="1"/>
      <c r="F157" s="5">
        <f t="shared" si="63"/>
        <v>8.7261133767827601E-3</v>
      </c>
      <c r="G157" s="1"/>
      <c r="H157" s="1">
        <f>SUM(OSRRefH22_12x_0)</f>
        <v>2100</v>
      </c>
      <c r="I157" s="1"/>
      <c r="J157" s="5">
        <f t="shared" si="64"/>
        <v>5.6888234692249687E-3</v>
      </c>
      <c r="K157" s="1"/>
      <c r="L157" s="1">
        <f t="shared" si="65"/>
        <v>3000</v>
      </c>
      <c r="M157" s="1"/>
      <c r="N157" s="5">
        <f t="shared" si="66"/>
        <v>1.4285714285714286</v>
      </c>
      <c r="O157" s="14"/>
      <c r="P157" s="1">
        <f>SUM(OSRRefP22_12x_0)</f>
        <v>15300</v>
      </c>
      <c r="Q157" s="1"/>
      <c r="R157" s="5">
        <f t="shared" si="67"/>
        <v>6.6012429985242869E-3</v>
      </c>
      <c r="S157" s="1"/>
      <c r="T157" s="1">
        <f>SUM(OSRRefT22_12x_0)</f>
        <v>6300</v>
      </c>
      <c r="U157" s="1"/>
      <c r="V157" s="5">
        <f t="shared" si="68"/>
        <v>2.8715969132302285E-3</v>
      </c>
      <c r="W157" s="1"/>
      <c r="X157" s="1">
        <f t="shared" si="69"/>
        <v>9000</v>
      </c>
      <c r="Y157" s="1"/>
      <c r="Z157" s="5">
        <f t="shared" si="70"/>
        <v>1.4285714285714286</v>
      </c>
    </row>
    <row r="158" spans="1:26" s="24" customFormat="1" hidden="1" outlineLevel="2" x14ac:dyDescent="0.25">
      <c r="A158" s="28"/>
      <c r="B158" s="11" t="str">
        <f>CONCATENATE("          ", "6408", " - ", "INVENTORY ADJUSTMENT")</f>
        <v xml:space="preserve">          6408 - INVENTORY ADJUSTMENT</v>
      </c>
      <c r="C158" s="11"/>
      <c r="D158" s="7">
        <v>5100</v>
      </c>
      <c r="E158" s="2"/>
      <c r="F158" s="6">
        <f t="shared" si="63"/>
        <v>8.7261133767827601E-3</v>
      </c>
      <c r="G158" s="2"/>
      <c r="H158" s="7">
        <v>2100</v>
      </c>
      <c r="I158" s="2"/>
      <c r="J158" s="6">
        <f t="shared" si="64"/>
        <v>5.6888234692249687E-3</v>
      </c>
      <c r="K158" s="2"/>
      <c r="L158" s="7">
        <f t="shared" si="65"/>
        <v>3000</v>
      </c>
      <c r="M158" s="2"/>
      <c r="N158" s="6">
        <f t="shared" si="66"/>
        <v>1.4285714285714286</v>
      </c>
      <c r="O158" s="11"/>
      <c r="P158" s="7">
        <v>15300</v>
      </c>
      <c r="Q158" s="2"/>
      <c r="R158" s="6">
        <f t="shared" si="67"/>
        <v>6.6012429985242869E-3</v>
      </c>
      <c r="S158" s="2"/>
      <c r="T158" s="7">
        <v>6300</v>
      </c>
      <c r="U158" s="2"/>
      <c r="V158" s="6">
        <f t="shared" si="68"/>
        <v>2.8715969132302285E-3</v>
      </c>
      <c r="W158" s="2"/>
      <c r="X158" s="7">
        <f t="shared" si="69"/>
        <v>9000</v>
      </c>
      <c r="Y158" s="2"/>
      <c r="Z158" s="6">
        <f t="shared" si="70"/>
        <v>1.4285714285714286</v>
      </c>
    </row>
    <row r="159" spans="1:26" s="24" customFormat="1" hidden="1" outlineLevel="2" x14ac:dyDescent="0.25">
      <c r="A159" s="28"/>
      <c r="B159" s="11" t="str">
        <f>CONCATENATE("          ", "7741", " - ", "INV. SHRINKAGE-LOGO GIFTS")</f>
        <v xml:space="preserve">          7741 - INV. SHRINKAGE-LOGO GIFTS</v>
      </c>
      <c r="C159" s="11"/>
      <c r="D159" s="7"/>
      <c r="E159" s="2"/>
      <c r="F159" s="6">
        <f t="shared" si="63"/>
        <v>0</v>
      </c>
      <c r="G159" s="2"/>
      <c r="H159" s="7"/>
      <c r="I159" s="2"/>
      <c r="J159" s="6">
        <f t="shared" si="64"/>
        <v>0</v>
      </c>
      <c r="K159" s="2"/>
      <c r="L159" s="7">
        <f t="shared" si="65"/>
        <v>0</v>
      </c>
      <c r="M159" s="2"/>
      <c r="N159" s="6">
        <f t="shared" si="66"/>
        <v>0</v>
      </c>
      <c r="O159" s="11"/>
      <c r="P159" s="7"/>
      <c r="Q159" s="2"/>
      <c r="R159" s="6">
        <f t="shared" si="67"/>
        <v>0</v>
      </c>
      <c r="S159" s="2"/>
      <c r="T159" s="7">
        <v>0</v>
      </c>
      <c r="U159" s="2"/>
      <c r="V159" s="6">
        <f t="shared" si="68"/>
        <v>0</v>
      </c>
      <c r="W159" s="2"/>
      <c r="X159" s="7">
        <f t="shared" si="69"/>
        <v>0</v>
      </c>
      <c r="Y159" s="2"/>
      <c r="Z159" s="6">
        <f t="shared" si="70"/>
        <v>0</v>
      </c>
    </row>
    <row r="160" spans="1:26" s="27" customFormat="1" outlineLevel="1" collapsed="1" x14ac:dyDescent="0.25">
      <c r="A160" s="29"/>
      <c r="B160" s="14" t="str">
        <f>CONCATENATE("     ","Rent                                              ")</f>
        <v xml:space="preserve">     Rent                                              </v>
      </c>
      <c r="C160" s="14"/>
      <c r="D160" s="1">
        <f>SUM(OSRRefD22_13x_0)</f>
        <v>6100</v>
      </c>
      <c r="E160" s="1"/>
      <c r="F160" s="5">
        <f t="shared" ref="F160:F166" si="71">IF(D$12=0,0,D160/D$12)</f>
        <v>1.043711599968134E-2</v>
      </c>
      <c r="G160" s="1"/>
      <c r="H160" s="1">
        <f>SUM(OSRRefH22_13x_0)</f>
        <v>6100</v>
      </c>
      <c r="I160" s="1"/>
      <c r="J160" s="5">
        <f t="shared" ref="J160:J166" si="72">IF(H$12=0,0,H160/H$12)</f>
        <v>1.6524677696320145E-2</v>
      </c>
      <c r="K160" s="1"/>
      <c r="L160" s="1">
        <f t="shared" ref="L160:L166" si="73">+D160-H160</f>
        <v>0</v>
      </c>
      <c r="M160" s="1"/>
      <c r="N160" s="5">
        <f t="shared" ref="N160:N166" si="74">IF(H160=0,0,L160/H160)</f>
        <v>0</v>
      </c>
      <c r="O160" s="14"/>
      <c r="P160" s="1">
        <f>SUM(OSRRefP22_13x_0)</f>
        <v>18300</v>
      </c>
      <c r="Q160" s="1"/>
      <c r="R160" s="5">
        <f t="shared" ref="R160:R166" si="75">IF(P$12=0,0,P160/P$12)</f>
        <v>7.8956043707839509E-3</v>
      </c>
      <c r="S160" s="1"/>
      <c r="T160" s="1">
        <f>SUM(OSRRefT22_13x_0)</f>
        <v>18300</v>
      </c>
      <c r="U160" s="1"/>
      <c r="V160" s="5">
        <f t="shared" ref="V160:V166" si="76">IF(T$12=0,0,T160/T$12)</f>
        <v>8.3413053193830446E-3</v>
      </c>
      <c r="W160" s="1"/>
      <c r="X160" s="1">
        <f t="shared" ref="X160:X166" si="77">+P160-T160</f>
        <v>0</v>
      </c>
      <c r="Y160" s="1"/>
      <c r="Z160" s="5">
        <f t="shared" ref="Z160:Z166" si="78">IF(T160=0,0,X160/T160)</f>
        <v>0</v>
      </c>
    </row>
    <row r="161" spans="1:26" s="24" customFormat="1" hidden="1" outlineLevel="2" x14ac:dyDescent="0.25">
      <c r="A161" s="28"/>
      <c r="B161" s="11" t="str">
        <f>CONCATENATE("          ", "6273", " - ", "RENT")</f>
        <v xml:space="preserve">          6273 - RENT</v>
      </c>
      <c r="C161" s="11"/>
      <c r="D161" s="7">
        <v>6100</v>
      </c>
      <c r="E161" s="2"/>
      <c r="F161" s="6">
        <f t="shared" si="71"/>
        <v>1.043711599968134E-2</v>
      </c>
      <c r="G161" s="2"/>
      <c r="H161" s="7">
        <v>6100</v>
      </c>
      <c r="I161" s="2"/>
      <c r="J161" s="6">
        <f t="shared" si="72"/>
        <v>1.6524677696320145E-2</v>
      </c>
      <c r="K161" s="2"/>
      <c r="L161" s="7">
        <f t="shared" si="73"/>
        <v>0</v>
      </c>
      <c r="M161" s="2"/>
      <c r="N161" s="6">
        <f t="shared" si="74"/>
        <v>0</v>
      </c>
      <c r="O161" s="11"/>
      <c r="P161" s="7">
        <v>18300</v>
      </c>
      <c r="Q161" s="2"/>
      <c r="R161" s="6">
        <f t="shared" si="75"/>
        <v>7.8956043707839509E-3</v>
      </c>
      <c r="S161" s="2"/>
      <c r="T161" s="7">
        <v>18300</v>
      </c>
      <c r="U161" s="2"/>
      <c r="V161" s="6">
        <f t="shared" si="76"/>
        <v>8.3413053193830446E-3</v>
      </c>
      <c r="W161" s="2"/>
      <c r="X161" s="7">
        <f t="shared" si="77"/>
        <v>0</v>
      </c>
      <c r="Y161" s="2"/>
      <c r="Z161" s="6">
        <f t="shared" si="78"/>
        <v>0</v>
      </c>
    </row>
    <row r="162" spans="1:26" s="27" customFormat="1" outlineLevel="1" collapsed="1" x14ac:dyDescent="0.25">
      <c r="A162" s="29"/>
      <c r="B162" s="14" t="str">
        <f>CONCATENATE("     ","Repair and Maintenance                            ")</f>
        <v xml:space="preserve">     Repair and Maintenance                            </v>
      </c>
      <c r="C162" s="14"/>
      <c r="D162" s="1">
        <f>SUM(OSRRefD22_14x_0)</f>
        <v>4189.5</v>
      </c>
      <c r="E162" s="1"/>
      <c r="F162" s="5">
        <f t="shared" si="71"/>
        <v>7.1682454886336025E-3</v>
      </c>
      <c r="G162" s="1"/>
      <c r="H162" s="1">
        <f>SUM(OSRRefH22_14x_0)</f>
        <v>13339.48</v>
      </c>
      <c r="I162" s="1"/>
      <c r="J162" s="5">
        <f t="shared" si="72"/>
        <v>3.6136165186312894E-2</v>
      </c>
      <c r="K162" s="1"/>
      <c r="L162" s="1">
        <f t="shared" si="73"/>
        <v>-9149.98</v>
      </c>
      <c r="M162" s="1"/>
      <c r="N162" s="5">
        <f t="shared" si="74"/>
        <v>-0.68593228521651517</v>
      </c>
      <c r="O162" s="14"/>
      <c r="P162" s="1">
        <f>SUM(OSRRefP22_14x_0)</f>
        <v>77016.56</v>
      </c>
      <c r="Q162" s="1"/>
      <c r="R162" s="5">
        <f t="shared" si="75"/>
        <v>3.3229086762772919E-2</v>
      </c>
      <c r="S162" s="1"/>
      <c r="T162" s="1">
        <f>SUM(OSRRefT22_14x_0)</f>
        <v>86392.27</v>
      </c>
      <c r="U162" s="1"/>
      <c r="V162" s="5">
        <f t="shared" si="76"/>
        <v>3.9378377120468648E-2</v>
      </c>
      <c r="W162" s="1"/>
      <c r="X162" s="1">
        <f t="shared" si="77"/>
        <v>-9375.7100000000064</v>
      </c>
      <c r="Y162" s="1"/>
      <c r="Z162" s="5">
        <f t="shared" si="78"/>
        <v>-0.10852487149602627</v>
      </c>
    </row>
    <row r="163" spans="1:26" s="24" customFormat="1" hidden="1" outlineLevel="2" x14ac:dyDescent="0.25">
      <c r="A163" s="28"/>
      <c r="B163" s="11" t="str">
        <f>CONCATENATE("          ", "6371", " - ", "COMPUTER SOFTWARE MAINTENANCE")</f>
        <v xml:space="preserve">          6371 - COMPUTER SOFTWARE MAINTENANCE</v>
      </c>
      <c r="C163" s="11"/>
      <c r="D163" s="7"/>
      <c r="E163" s="2"/>
      <c r="F163" s="6">
        <f t="shared" si="71"/>
        <v>0</v>
      </c>
      <c r="G163" s="2"/>
      <c r="H163" s="7"/>
      <c r="I163" s="2"/>
      <c r="J163" s="6">
        <f t="shared" si="72"/>
        <v>0</v>
      </c>
      <c r="K163" s="2"/>
      <c r="L163" s="7">
        <f t="shared" si="73"/>
        <v>0</v>
      </c>
      <c r="M163" s="2"/>
      <c r="N163" s="6">
        <f t="shared" si="74"/>
        <v>0</v>
      </c>
      <c r="O163" s="11"/>
      <c r="P163" s="7">
        <v>59623.5</v>
      </c>
      <c r="Q163" s="2"/>
      <c r="R163" s="6">
        <f t="shared" si="75"/>
        <v>2.5724785092974694E-2</v>
      </c>
      <c r="S163" s="2"/>
      <c r="T163" s="7">
        <v>58428.78</v>
      </c>
      <c r="U163" s="2"/>
      <c r="V163" s="6">
        <f t="shared" si="76"/>
        <v>2.6632365760604459E-2</v>
      </c>
      <c r="W163" s="2"/>
      <c r="X163" s="7">
        <f t="shared" si="77"/>
        <v>1194.7200000000012</v>
      </c>
      <c r="Y163" s="2"/>
      <c r="Z163" s="6">
        <f t="shared" si="78"/>
        <v>2.044745757142287E-2</v>
      </c>
    </row>
    <row r="164" spans="1:26" s="24" customFormat="1" hidden="1" outlineLevel="2" x14ac:dyDescent="0.25">
      <c r="A164" s="28"/>
      <c r="B164" s="11" t="str">
        <f>CONCATENATE("          ", "6372", " - ", "COMPUTER HARDWARE MAINTENANCE")</f>
        <v xml:space="preserve">          6372 - COMPUTER HARDWARE MAINTENANCE</v>
      </c>
      <c r="C164" s="11"/>
      <c r="D164" s="7"/>
      <c r="E164" s="2"/>
      <c r="F164" s="6">
        <f t="shared" si="71"/>
        <v>0</v>
      </c>
      <c r="G164" s="2"/>
      <c r="H164" s="7">
        <v>-9.09</v>
      </c>
      <c r="I164" s="2"/>
      <c r="J164" s="6">
        <f t="shared" si="72"/>
        <v>-2.4624478731073792E-5</v>
      </c>
      <c r="K164" s="2"/>
      <c r="L164" s="7">
        <f t="shared" si="73"/>
        <v>9.09</v>
      </c>
      <c r="M164" s="2"/>
      <c r="N164" s="6">
        <f t="shared" si="74"/>
        <v>-1</v>
      </c>
      <c r="O164" s="11"/>
      <c r="P164" s="7"/>
      <c r="Q164" s="2"/>
      <c r="R164" s="6">
        <f t="shared" si="75"/>
        <v>0</v>
      </c>
      <c r="S164" s="2"/>
      <c r="T164" s="7">
        <v>-8.11</v>
      </c>
      <c r="U164" s="2"/>
      <c r="V164" s="6">
        <f t="shared" si="76"/>
        <v>-3.6966112644916112E-6</v>
      </c>
      <c r="W164" s="2"/>
      <c r="X164" s="7">
        <f t="shared" si="77"/>
        <v>8.11</v>
      </c>
      <c r="Y164" s="2"/>
      <c r="Z164" s="6">
        <f t="shared" si="78"/>
        <v>-1</v>
      </c>
    </row>
    <row r="165" spans="1:26" s="24" customFormat="1" hidden="1" outlineLevel="2" x14ac:dyDescent="0.25">
      <c r="A165" s="28"/>
      <c r="B165" s="11" t="str">
        <f>CONCATENATE("          ", "6373", " - ", "MAINTENANCE CONTRACTS")</f>
        <v xml:space="preserve">          6373 - MAINTENANCE CONTRACTS</v>
      </c>
      <c r="C165" s="11"/>
      <c r="D165" s="7">
        <v>1366.9</v>
      </c>
      <c r="E165" s="2"/>
      <c r="F165" s="6">
        <f t="shared" si="71"/>
        <v>2.3387694852400696E-3</v>
      </c>
      <c r="G165" s="2"/>
      <c r="H165" s="7">
        <v>12402.82</v>
      </c>
      <c r="I165" s="2"/>
      <c r="J165" s="6">
        <f t="shared" si="72"/>
        <v>3.3598787381225154E-2</v>
      </c>
      <c r="K165" s="2"/>
      <c r="L165" s="7">
        <f t="shared" si="73"/>
        <v>-11035.92</v>
      </c>
      <c r="M165" s="2"/>
      <c r="N165" s="6">
        <f t="shared" si="74"/>
        <v>-0.88979119264812356</v>
      </c>
      <c r="O165" s="11"/>
      <c r="P165" s="7">
        <v>8031.95</v>
      </c>
      <c r="Q165" s="2"/>
      <c r="R165" s="6">
        <f t="shared" si="75"/>
        <v>3.4654152746403364E-3</v>
      </c>
      <c r="S165" s="2"/>
      <c r="T165" s="7">
        <v>25189.05</v>
      </c>
      <c r="U165" s="2"/>
      <c r="V165" s="6">
        <f t="shared" si="76"/>
        <v>1.1481396544000299E-2</v>
      </c>
      <c r="W165" s="2"/>
      <c r="X165" s="7">
        <f t="shared" si="77"/>
        <v>-17157.099999999999</v>
      </c>
      <c r="Y165" s="2"/>
      <c r="Z165" s="6">
        <f t="shared" si="78"/>
        <v>-0.68113327021066694</v>
      </c>
    </row>
    <row r="166" spans="1:26" s="24" customFormat="1" hidden="1" outlineLevel="2" x14ac:dyDescent="0.25">
      <c r="A166" s="28"/>
      <c r="B166" s="11" t="str">
        <f>CONCATENATE("          ", "6375", " - ", "OUTSIDE REPAIRS &amp; MAINTENANCE")</f>
        <v xml:space="preserve">          6375 - OUTSIDE REPAIRS &amp; MAINTENANCE</v>
      </c>
      <c r="C166" s="11"/>
      <c r="D166" s="7">
        <v>2822.6</v>
      </c>
      <c r="E166" s="2"/>
      <c r="F166" s="6">
        <f t="shared" si="71"/>
        <v>4.8294760033935329E-3</v>
      </c>
      <c r="G166" s="2"/>
      <c r="H166" s="7">
        <v>945.75</v>
      </c>
      <c r="I166" s="2"/>
      <c r="J166" s="6">
        <f t="shared" si="72"/>
        <v>2.5620022838188164E-3</v>
      </c>
      <c r="K166" s="2"/>
      <c r="L166" s="7">
        <f t="shared" si="73"/>
        <v>1876.85</v>
      </c>
      <c r="M166" s="2"/>
      <c r="N166" s="6">
        <f t="shared" si="74"/>
        <v>1.984509648427174</v>
      </c>
      <c r="O166" s="11"/>
      <c r="P166" s="7">
        <v>9361.11</v>
      </c>
      <c r="Q166" s="2"/>
      <c r="R166" s="6">
        <f t="shared" si="75"/>
        <v>4.0388863951578884E-3</v>
      </c>
      <c r="S166" s="2"/>
      <c r="T166" s="7">
        <v>2782.55</v>
      </c>
      <c r="U166" s="2"/>
      <c r="V166" s="6">
        <f t="shared" si="76"/>
        <v>1.2683114271283766E-3</v>
      </c>
      <c r="W166" s="2"/>
      <c r="X166" s="7">
        <f t="shared" si="77"/>
        <v>6578.56</v>
      </c>
      <c r="Y166" s="2"/>
      <c r="Z166" s="6">
        <f t="shared" si="78"/>
        <v>2.3642198702628883</v>
      </c>
    </row>
    <row r="167" spans="1:26" s="27" customFormat="1" outlineLevel="1" collapsed="1" x14ac:dyDescent="0.25">
      <c r="A167" s="29"/>
      <c r="B167" s="14" t="str">
        <f>CONCATENATE("     ","Royalty &amp; Commissions                             ")</f>
        <v xml:space="preserve">     Royalty &amp; Commissions                             </v>
      </c>
      <c r="C167" s="14"/>
      <c r="D167" s="1">
        <f>SUM(OSRRefD22_15x_0)</f>
        <v>1174.22</v>
      </c>
      <c r="E167" s="1"/>
      <c r="F167" s="5">
        <f t="shared" ref="F167:F170" si="79">IF(D$12=0,0,D167/D$12)</f>
        <v>2.0090934998599711E-3</v>
      </c>
      <c r="G167" s="1"/>
      <c r="H167" s="1">
        <f>SUM(OSRRefH22_15x_0)</f>
        <v>62.6</v>
      </c>
      <c r="I167" s="1"/>
      <c r="J167" s="5">
        <f t="shared" ref="J167:J170" si="80">IF(H$12=0,0,H167/H$12)</f>
        <v>1.6958111865403953E-4</v>
      </c>
      <c r="K167" s="1"/>
      <c r="L167" s="1">
        <f t="shared" ref="L167:L170" si="81">+D167-H167</f>
        <v>1111.6200000000001</v>
      </c>
      <c r="M167" s="1"/>
      <c r="N167" s="5">
        <f t="shared" ref="N167:N170" si="82">IF(H167=0,0,L167/H167)</f>
        <v>17.75750798722045</v>
      </c>
      <c r="O167" s="14"/>
      <c r="P167" s="1">
        <f>SUM(OSRRefP22_15x_0)</f>
        <v>9131.2100000000009</v>
      </c>
      <c r="Q167" s="1"/>
      <c r="R167" s="5">
        <f t="shared" ref="R167:R170" si="83">IF(P$12=0,0,P167/P$12)</f>
        <v>3.9396951686637227E-3</v>
      </c>
      <c r="S167" s="1"/>
      <c r="T167" s="1">
        <f>SUM(OSRRefT22_15x_0)</f>
        <v>13307</v>
      </c>
      <c r="U167" s="1"/>
      <c r="V167" s="5">
        <f t="shared" ref="V167:V170" si="84">IF(T$12=0,0,T167/T$12)</f>
        <v>6.0654508133896265E-3</v>
      </c>
      <c r="W167" s="1"/>
      <c r="X167" s="1">
        <f t="shared" ref="X167:X170" si="85">+P167-T167</f>
        <v>-4175.7899999999991</v>
      </c>
      <c r="Y167" s="1"/>
      <c r="Z167" s="5">
        <f t="shared" ref="Z167:Z170" si="86">IF(T167=0,0,X167/T167)</f>
        <v>-0.31380401292552784</v>
      </c>
    </row>
    <row r="168" spans="1:26" s="24" customFormat="1" hidden="1" outlineLevel="2" x14ac:dyDescent="0.25">
      <c r="A168" s="28"/>
      <c r="B168" s="11" t="str">
        <f>CONCATENATE("          ", "6253", " - ", "ROYALTY DUE ATHLETICS-LRG")</f>
        <v xml:space="preserve">          6253 - ROYALTY DUE ATHLETICS-LRG</v>
      </c>
      <c r="C168" s="11"/>
      <c r="D168" s="7"/>
      <c r="E168" s="2"/>
      <c r="F168" s="6">
        <f t="shared" si="79"/>
        <v>0</v>
      </c>
      <c r="G168" s="2"/>
      <c r="H168" s="7"/>
      <c r="I168" s="2"/>
      <c r="J168" s="6">
        <f t="shared" si="80"/>
        <v>0</v>
      </c>
      <c r="K168" s="2"/>
      <c r="L168" s="7">
        <f t="shared" si="81"/>
        <v>0</v>
      </c>
      <c r="M168" s="2"/>
      <c r="N168" s="6">
        <f t="shared" si="82"/>
        <v>0</v>
      </c>
      <c r="O168" s="11"/>
      <c r="P168" s="7">
        <v>14376.54</v>
      </c>
      <c r="Q168" s="2"/>
      <c r="R168" s="6">
        <f t="shared" si="83"/>
        <v>6.2028126809153174E-3</v>
      </c>
      <c r="S168" s="2"/>
      <c r="T168" s="7">
        <v>7922.2</v>
      </c>
      <c r="U168" s="2"/>
      <c r="V168" s="6">
        <f t="shared" si="84"/>
        <v>3.61101032793532E-3</v>
      </c>
      <c r="W168" s="2"/>
      <c r="X168" s="7">
        <f t="shared" si="85"/>
        <v>6454.3400000000011</v>
      </c>
      <c r="Y168" s="2"/>
      <c r="Z168" s="6">
        <f t="shared" si="86"/>
        <v>0.81471560930044695</v>
      </c>
    </row>
    <row r="169" spans="1:26" s="24" customFormat="1" hidden="1" outlineLevel="2" x14ac:dyDescent="0.25">
      <c r="A169" s="28"/>
      <c r="B169" s="11" t="str">
        <f>CONCATENATE("          ", "6254", " - ", "ROYALTY &amp; COMMISSIONS")</f>
        <v xml:space="preserve">          6254 - ROYALTY &amp; COMMISSIONS</v>
      </c>
      <c r="C169" s="11"/>
      <c r="D169" s="7"/>
      <c r="E169" s="2"/>
      <c r="F169" s="6">
        <f t="shared" si="79"/>
        <v>0</v>
      </c>
      <c r="G169" s="2"/>
      <c r="H169" s="7"/>
      <c r="I169" s="2"/>
      <c r="J169" s="6">
        <f t="shared" si="80"/>
        <v>0</v>
      </c>
      <c r="K169" s="2"/>
      <c r="L169" s="7">
        <f t="shared" si="81"/>
        <v>0</v>
      </c>
      <c r="M169" s="2"/>
      <c r="N169" s="6">
        <f t="shared" si="82"/>
        <v>0</v>
      </c>
      <c r="O169" s="11"/>
      <c r="P169" s="7">
        <v>-7027.5</v>
      </c>
      <c r="Q169" s="2"/>
      <c r="R169" s="6">
        <f t="shared" si="83"/>
        <v>-3.0320415145182631E-3</v>
      </c>
      <c r="S169" s="2"/>
      <c r="T169" s="7"/>
      <c r="U169" s="2"/>
      <c r="V169" s="6">
        <f t="shared" si="84"/>
        <v>0</v>
      </c>
      <c r="W169" s="2"/>
      <c r="X169" s="7">
        <f t="shared" si="85"/>
        <v>-7027.5</v>
      </c>
      <c r="Y169" s="2"/>
      <c r="Z169" s="6">
        <f t="shared" si="86"/>
        <v>0</v>
      </c>
    </row>
    <row r="170" spans="1:26" s="24" customFormat="1" hidden="1" outlineLevel="2" x14ac:dyDescent="0.25">
      <c r="A170" s="28"/>
      <c r="B170" s="11" t="str">
        <f>CONCATENATE("          ", "6259", " - ", "ROYALTY &amp; COMMISSIONS")</f>
        <v xml:space="preserve">          6259 - ROYALTY &amp; COMMISSIONS</v>
      </c>
      <c r="C170" s="11"/>
      <c r="D170" s="7">
        <v>1174.22</v>
      </c>
      <c r="E170" s="2"/>
      <c r="F170" s="6">
        <f t="shared" si="79"/>
        <v>2.0090934998599711E-3</v>
      </c>
      <c r="G170" s="2"/>
      <c r="H170" s="7">
        <v>62.6</v>
      </c>
      <c r="I170" s="2"/>
      <c r="J170" s="6">
        <f t="shared" si="80"/>
        <v>1.6958111865403953E-4</v>
      </c>
      <c r="K170" s="2"/>
      <c r="L170" s="7">
        <f t="shared" si="81"/>
        <v>1111.6200000000001</v>
      </c>
      <c r="M170" s="2"/>
      <c r="N170" s="6">
        <f t="shared" si="82"/>
        <v>17.75750798722045</v>
      </c>
      <c r="O170" s="11"/>
      <c r="P170" s="7">
        <v>1782.17</v>
      </c>
      <c r="Q170" s="2"/>
      <c r="R170" s="6">
        <f t="shared" si="83"/>
        <v>7.6892400226666855E-4</v>
      </c>
      <c r="S170" s="2"/>
      <c r="T170" s="7">
        <v>5384.8</v>
      </c>
      <c r="U170" s="2"/>
      <c r="V170" s="6">
        <f t="shared" si="84"/>
        <v>2.454440485454307E-3</v>
      </c>
      <c r="W170" s="2"/>
      <c r="X170" s="7">
        <f t="shared" si="85"/>
        <v>-3602.63</v>
      </c>
      <c r="Y170" s="2"/>
      <c r="Z170" s="6">
        <f t="shared" si="86"/>
        <v>-0.66903691873421478</v>
      </c>
    </row>
    <row r="171" spans="1:26" s="27" customFormat="1" outlineLevel="1" collapsed="1" x14ac:dyDescent="0.25">
      <c r="A171" s="29"/>
      <c r="B171" s="14" t="str">
        <f>CONCATENATE("     ","Services                                          ")</f>
        <v xml:space="preserve">     Services                                          </v>
      </c>
      <c r="C171" s="14"/>
      <c r="D171" s="1">
        <f>SUM(OSRRefD22_16x_0)</f>
        <v>4255.71</v>
      </c>
      <c r="E171" s="1"/>
      <c r="F171" s="5">
        <f t="shared" ref="F171:F175" si="87">IF(D$12=0,0,D171/D$12)</f>
        <v>7.2815309722957175E-3</v>
      </c>
      <c r="G171" s="1"/>
      <c r="H171" s="1">
        <f>SUM(OSRRefH22_16x_0)</f>
        <v>4517.25</v>
      </c>
      <c r="I171" s="1"/>
      <c r="J171" s="5">
        <f t="shared" ref="J171:J175" si="88">IF(H$12=0,0,H171/H$12)</f>
        <v>1.2237065626836423E-2</v>
      </c>
      <c r="K171" s="1"/>
      <c r="L171" s="1">
        <f t="shared" ref="L171:L175" si="89">+D171-H171</f>
        <v>-261.53999999999996</v>
      </c>
      <c r="M171" s="1"/>
      <c r="N171" s="5">
        <f t="shared" ref="N171:N175" si="90">IF(H171=0,0,L171/H171)</f>
        <v>-5.7898057446455244E-2</v>
      </c>
      <c r="O171" s="14"/>
      <c r="P171" s="1">
        <f>SUM(OSRRefP22_16x_0)</f>
        <v>21220.760000000002</v>
      </c>
      <c r="Q171" s="1"/>
      <c r="R171" s="5">
        <f t="shared" ref="R171:R175" si="91">IF(P$12=0,0,P171/P$12)</f>
        <v>9.1557773446643304E-3</v>
      </c>
      <c r="S171" s="1"/>
      <c r="T171" s="1">
        <f>SUM(OSRRefT22_16x_0)</f>
        <v>8822.77</v>
      </c>
      <c r="U171" s="1"/>
      <c r="V171" s="5">
        <f t="shared" ref="V171:V175" si="92">IF(T$12=0,0,T171/T$12)</f>
        <v>4.0214982695460739E-3</v>
      </c>
      <c r="W171" s="1"/>
      <c r="X171" s="1">
        <f t="shared" ref="X171:X175" si="93">+P171-T171</f>
        <v>12397.990000000002</v>
      </c>
      <c r="Y171" s="1"/>
      <c r="Z171" s="5">
        <f t="shared" ref="Z171:Z175" si="94">IF(T171=0,0,X171/T171)</f>
        <v>1.4052264764920768</v>
      </c>
    </row>
    <row r="172" spans="1:26" s="24" customFormat="1" hidden="1" outlineLevel="2" x14ac:dyDescent="0.25">
      <c r="A172" s="28"/>
      <c r="B172" s="11" t="str">
        <f>CONCATENATE("          ", "6282", " - ", "JANITORIAL/EXTERMINATOR EXPENS")</f>
        <v xml:space="preserve">          6282 - JANITORIAL/EXTERMINATOR EXPENS</v>
      </c>
      <c r="C172" s="11"/>
      <c r="D172" s="7">
        <v>684.57</v>
      </c>
      <c r="E172" s="2"/>
      <c r="F172" s="6">
        <f t="shared" si="87"/>
        <v>1.1713010655576813E-3</v>
      </c>
      <c r="G172" s="2"/>
      <c r="H172" s="7">
        <v>266.5</v>
      </c>
      <c r="I172" s="2"/>
      <c r="J172" s="6">
        <f t="shared" si="88"/>
        <v>7.2193878788021624E-4</v>
      </c>
      <c r="K172" s="2"/>
      <c r="L172" s="7">
        <f t="shared" si="89"/>
        <v>418.07000000000005</v>
      </c>
      <c r="M172" s="2"/>
      <c r="N172" s="6">
        <f t="shared" si="90"/>
        <v>1.5687429643527206</v>
      </c>
      <c r="O172" s="11"/>
      <c r="P172" s="7">
        <v>975.57</v>
      </c>
      <c r="Q172" s="2"/>
      <c r="R172" s="6">
        <f t="shared" si="91"/>
        <v>4.2091337464512018E-4</v>
      </c>
      <c r="S172" s="2"/>
      <c r="T172" s="7">
        <v>742.94</v>
      </c>
      <c r="U172" s="2"/>
      <c r="V172" s="6">
        <f t="shared" si="92"/>
        <v>3.386387636055978E-4</v>
      </c>
      <c r="W172" s="2"/>
      <c r="X172" s="7">
        <f t="shared" si="93"/>
        <v>232.63</v>
      </c>
      <c r="Y172" s="2"/>
      <c r="Z172" s="6">
        <f t="shared" si="94"/>
        <v>0.31312084421352998</v>
      </c>
    </row>
    <row r="173" spans="1:26" s="24" customFormat="1" hidden="1" outlineLevel="2" x14ac:dyDescent="0.25">
      <c r="A173" s="28"/>
      <c r="B173" s="11" t="str">
        <f>CONCATENATE("          ", "6283", " - ", "PLANT SERVICE")</f>
        <v xml:space="preserve">          6283 - PLANT SERVICE</v>
      </c>
      <c r="C173" s="11"/>
      <c r="D173" s="7"/>
      <c r="E173" s="2"/>
      <c r="F173" s="6">
        <f t="shared" si="87"/>
        <v>0</v>
      </c>
      <c r="G173" s="2"/>
      <c r="H173" s="7"/>
      <c r="I173" s="2"/>
      <c r="J173" s="6">
        <f t="shared" si="88"/>
        <v>0</v>
      </c>
      <c r="K173" s="2"/>
      <c r="L173" s="7">
        <f t="shared" si="89"/>
        <v>0</v>
      </c>
      <c r="M173" s="2"/>
      <c r="N173" s="6">
        <f t="shared" si="90"/>
        <v>0</v>
      </c>
      <c r="O173" s="11"/>
      <c r="P173" s="7"/>
      <c r="Q173" s="2"/>
      <c r="R173" s="6">
        <f t="shared" si="91"/>
        <v>0</v>
      </c>
      <c r="S173" s="2"/>
      <c r="T173" s="7">
        <v>130</v>
      </c>
      <c r="U173" s="2"/>
      <c r="V173" s="6">
        <f t="shared" si="92"/>
        <v>5.9255174399988843E-5</v>
      </c>
      <c r="W173" s="2"/>
      <c r="X173" s="7">
        <f t="shared" si="93"/>
        <v>-130</v>
      </c>
      <c r="Y173" s="2"/>
      <c r="Z173" s="6">
        <f t="shared" si="94"/>
        <v>-1</v>
      </c>
    </row>
    <row r="174" spans="1:26" s="24" customFormat="1" hidden="1" outlineLevel="2" x14ac:dyDescent="0.25">
      <c r="A174" s="28"/>
      <c r="B174" s="11" t="str">
        <f>CONCATENATE("          ", "6284", " - ", "TRASH REMOVAL EXPENSE")</f>
        <v xml:space="preserve">          6284 - TRASH REMOVAL EXPENSE</v>
      </c>
      <c r="C174" s="11"/>
      <c r="D174" s="7">
        <v>149.69999999999999</v>
      </c>
      <c r="E174" s="2"/>
      <c r="F174" s="6">
        <f t="shared" si="87"/>
        <v>2.5613709264791747E-4</v>
      </c>
      <c r="G174" s="2"/>
      <c r="H174" s="7">
        <v>142.57</v>
      </c>
      <c r="I174" s="2"/>
      <c r="J174" s="6">
        <f t="shared" si="88"/>
        <v>3.8621693428923988E-4</v>
      </c>
      <c r="K174" s="2"/>
      <c r="L174" s="7">
        <f t="shared" si="89"/>
        <v>7.1299999999999955</v>
      </c>
      <c r="M174" s="2"/>
      <c r="N174" s="6">
        <f t="shared" si="90"/>
        <v>5.0010521147506461E-2</v>
      </c>
      <c r="O174" s="11"/>
      <c r="P174" s="7">
        <v>441.97</v>
      </c>
      <c r="Q174" s="2"/>
      <c r="R174" s="6">
        <f t="shared" si="91"/>
        <v>1.9068963189920125E-4</v>
      </c>
      <c r="S174" s="2"/>
      <c r="T174" s="7">
        <v>427.71</v>
      </c>
      <c r="U174" s="2"/>
      <c r="V174" s="6">
        <f t="shared" si="92"/>
        <v>1.9495408186630175E-4</v>
      </c>
      <c r="W174" s="2"/>
      <c r="X174" s="7">
        <f t="shared" si="93"/>
        <v>14.260000000000048</v>
      </c>
      <c r="Y174" s="2"/>
      <c r="Z174" s="6">
        <f t="shared" si="94"/>
        <v>3.3340347431671108E-2</v>
      </c>
    </row>
    <row r="175" spans="1:26" s="24" customFormat="1" hidden="1" outlineLevel="2" x14ac:dyDescent="0.25">
      <c r="A175" s="28"/>
      <c r="B175" s="11" t="str">
        <f>CONCATENATE("          ", "6285", " - ", "JANITORIAL SERVICES")</f>
        <v xml:space="preserve">          6285 - JANITORIAL SERVICES</v>
      </c>
      <c r="C175" s="11"/>
      <c r="D175" s="7">
        <v>3421.44</v>
      </c>
      <c r="E175" s="2"/>
      <c r="F175" s="6">
        <f t="shared" si="87"/>
        <v>5.8540928140901191E-3</v>
      </c>
      <c r="G175" s="2"/>
      <c r="H175" s="7">
        <v>4108.18</v>
      </c>
      <c r="I175" s="2"/>
      <c r="J175" s="6">
        <f t="shared" si="88"/>
        <v>1.1128909904666967E-2</v>
      </c>
      <c r="K175" s="2"/>
      <c r="L175" s="7">
        <f t="shared" si="89"/>
        <v>-686.74000000000024</v>
      </c>
      <c r="M175" s="2"/>
      <c r="N175" s="6">
        <f t="shared" si="90"/>
        <v>-0.16716404831336509</v>
      </c>
      <c r="O175" s="11"/>
      <c r="P175" s="7">
        <v>19803.22</v>
      </c>
      <c r="Q175" s="2"/>
      <c r="R175" s="6">
        <f t="shared" si="91"/>
        <v>8.5441743381200093E-3</v>
      </c>
      <c r="S175" s="2"/>
      <c r="T175" s="7">
        <v>7522.12</v>
      </c>
      <c r="U175" s="2"/>
      <c r="V175" s="6">
        <f t="shared" si="92"/>
        <v>3.4286502496741851E-3</v>
      </c>
      <c r="W175" s="2"/>
      <c r="X175" s="7">
        <f t="shared" si="93"/>
        <v>12281.100000000002</v>
      </c>
      <c r="Y175" s="2"/>
      <c r="Z175" s="6">
        <f t="shared" si="94"/>
        <v>1.6326647274970356</v>
      </c>
    </row>
    <row r="176" spans="1:26" s="27" customFormat="1" outlineLevel="1" collapsed="1" x14ac:dyDescent="0.25">
      <c r="A176" s="29"/>
      <c r="B176" s="14" t="str">
        <f>CONCATENATE("     ","Subscriptions &amp; Dues                              ")</f>
        <v xml:space="preserve">     Subscriptions &amp; Dues                              </v>
      </c>
      <c r="C176" s="14"/>
      <c r="D176" s="1">
        <f>SUM(OSRRefD22_17x_0)</f>
        <v>-72.56</v>
      </c>
      <c r="E176" s="1"/>
      <c r="F176" s="5">
        <f t="shared" ref="F176:F178" si="95">IF(D$12=0,0,D176/D$12)</f>
        <v>-1.2415035031752099E-4</v>
      </c>
      <c r="G176" s="1"/>
      <c r="H176" s="1">
        <f>SUM(OSRRefH22_17x_0)</f>
        <v>148.77000000000001</v>
      </c>
      <c r="I176" s="1"/>
      <c r="J176" s="5">
        <f t="shared" ref="J176:J178" si="96">IF(H$12=0,0,H176/H$12)</f>
        <v>4.0301250834123744E-4</v>
      </c>
      <c r="K176" s="1"/>
      <c r="L176" s="1">
        <f t="shared" ref="L176:L178" si="97">+D176-H176</f>
        <v>-221.33</v>
      </c>
      <c r="M176" s="1"/>
      <c r="N176" s="5">
        <f t="shared" ref="N176:N178" si="98">IF(H176=0,0,L176/H176)</f>
        <v>-1.4877327418162263</v>
      </c>
      <c r="O176" s="14"/>
      <c r="P176" s="1">
        <f>SUM(OSRRefP22_17x_0)</f>
        <v>52.76</v>
      </c>
      <c r="Q176" s="1"/>
      <c r="R176" s="5">
        <f t="shared" ref="R176:R178" si="99">IF(P$12=0,0,P176/P$12)</f>
        <v>2.2763502000139959E-5</v>
      </c>
      <c r="S176" s="1"/>
      <c r="T176" s="1">
        <f>SUM(OSRRefT22_17x_0)</f>
        <v>783.77</v>
      </c>
      <c r="U176" s="1"/>
      <c r="V176" s="5">
        <f t="shared" ref="V176:V178" si="100">IF(T$12=0,0,T176/T$12)</f>
        <v>3.5724944645753269E-4</v>
      </c>
      <c r="W176" s="1"/>
      <c r="X176" s="1">
        <f t="shared" ref="X176:X178" si="101">+P176-T176</f>
        <v>-731.01</v>
      </c>
      <c r="Y176" s="1"/>
      <c r="Z176" s="5">
        <f t="shared" ref="Z176:Z178" si="102">IF(T176=0,0,X176/T176)</f>
        <v>-0.93268433341413937</v>
      </c>
    </row>
    <row r="177" spans="1:26" s="24" customFormat="1" hidden="1" outlineLevel="2" x14ac:dyDescent="0.25">
      <c r="A177" s="28"/>
      <c r="B177" s="11" t="str">
        <f>CONCATENATE("          ", "6258", " - ", "MEMBERSHIP DUES")</f>
        <v xml:space="preserve">          6258 - MEMBERSHIP DUES</v>
      </c>
      <c r="C177" s="11"/>
      <c r="D177" s="7">
        <v>-72.56</v>
      </c>
      <c r="E177" s="2"/>
      <c r="F177" s="6">
        <f t="shared" si="95"/>
        <v>-1.2415035031752099E-4</v>
      </c>
      <c r="G177" s="2"/>
      <c r="H177" s="7">
        <v>73.040000000000006</v>
      </c>
      <c r="I177" s="2"/>
      <c r="J177" s="6">
        <f t="shared" si="96"/>
        <v>1.9786269818675798E-4</v>
      </c>
      <c r="K177" s="2"/>
      <c r="L177" s="7">
        <f t="shared" si="97"/>
        <v>-145.60000000000002</v>
      </c>
      <c r="M177" s="2"/>
      <c r="N177" s="6">
        <f t="shared" si="98"/>
        <v>-1.9934282584884997</v>
      </c>
      <c r="O177" s="11"/>
      <c r="P177" s="7">
        <v>52.76</v>
      </c>
      <c r="Q177" s="2"/>
      <c r="R177" s="6">
        <f t="shared" si="99"/>
        <v>2.2763502000139959E-5</v>
      </c>
      <c r="S177" s="2"/>
      <c r="T177" s="7">
        <v>633.04</v>
      </c>
      <c r="U177" s="2"/>
      <c r="V177" s="6">
        <f t="shared" si="100"/>
        <v>2.8854535078591488E-4</v>
      </c>
      <c r="W177" s="2"/>
      <c r="X177" s="7">
        <f t="shared" si="101"/>
        <v>-580.28</v>
      </c>
      <c r="Y177" s="2"/>
      <c r="Z177" s="6">
        <f t="shared" si="102"/>
        <v>-0.91665613547327185</v>
      </c>
    </row>
    <row r="178" spans="1:26" s="24" customFormat="1" hidden="1" outlineLevel="2" x14ac:dyDescent="0.25">
      <c r="A178" s="28"/>
      <c r="B178" s="11" t="str">
        <f>CONCATENATE("          ", "6275", " - ", "SUBSCRIPTIONS")</f>
        <v xml:space="preserve">          6275 - SUBSCRIPTIONS</v>
      </c>
      <c r="C178" s="11"/>
      <c r="D178" s="7"/>
      <c r="E178" s="2"/>
      <c r="F178" s="6">
        <f t="shared" si="95"/>
        <v>0</v>
      </c>
      <c r="G178" s="2"/>
      <c r="H178" s="7">
        <v>75.73</v>
      </c>
      <c r="I178" s="2"/>
      <c r="J178" s="6">
        <f t="shared" si="96"/>
        <v>2.0514981015447948E-4</v>
      </c>
      <c r="K178" s="2"/>
      <c r="L178" s="7">
        <f t="shared" si="97"/>
        <v>-75.73</v>
      </c>
      <c r="M178" s="2"/>
      <c r="N178" s="6">
        <f t="shared" si="98"/>
        <v>-1</v>
      </c>
      <c r="O178" s="11"/>
      <c r="P178" s="7"/>
      <c r="Q178" s="2"/>
      <c r="R178" s="6">
        <f t="shared" si="99"/>
        <v>0</v>
      </c>
      <c r="S178" s="2"/>
      <c r="T178" s="7">
        <v>150.72999999999999</v>
      </c>
      <c r="U178" s="2"/>
      <c r="V178" s="6">
        <f t="shared" si="100"/>
        <v>6.8704095671617829E-5</v>
      </c>
      <c r="W178" s="2"/>
      <c r="X178" s="7">
        <f t="shared" si="101"/>
        <v>-150.72999999999999</v>
      </c>
      <c r="Y178" s="2"/>
      <c r="Z178" s="6">
        <f t="shared" si="102"/>
        <v>-1</v>
      </c>
    </row>
    <row r="179" spans="1:26" s="27" customFormat="1" outlineLevel="1" collapsed="1" x14ac:dyDescent="0.25">
      <c r="A179" s="29"/>
      <c r="B179" s="14" t="str">
        <f>CONCATENATE("     ","Supplies                                          ")</f>
        <v xml:space="preserve">     Supplies                                          </v>
      </c>
      <c r="C179" s="14"/>
      <c r="D179" s="1">
        <f>SUM(OSRRefD22_18x_0)</f>
        <v>5351.82</v>
      </c>
      <c r="E179" s="1"/>
      <c r="F179" s="5">
        <f t="shared" ref="F179:F185" si="103">IF(D$12=0,0,D179/D$12)</f>
        <v>9.1569780572810806E-3</v>
      </c>
      <c r="G179" s="1"/>
      <c r="H179" s="1">
        <f>SUM(OSRRefH22_18x_0)</f>
        <v>13852.2</v>
      </c>
      <c r="I179" s="1"/>
      <c r="J179" s="5">
        <f t="shared" ref="J179:J185" si="104">IF(H$12=0,0,H179/H$12)</f>
        <v>3.7525104981141956E-2</v>
      </c>
      <c r="K179" s="1"/>
      <c r="L179" s="1">
        <f t="shared" ref="L179:L185" si="105">+D179-H179</f>
        <v>-8500.380000000001</v>
      </c>
      <c r="M179" s="1"/>
      <c r="N179" s="5">
        <f t="shared" ref="N179:N185" si="106">IF(H179=0,0,L179/H179)</f>
        <v>-0.61364837354355273</v>
      </c>
      <c r="O179" s="14"/>
      <c r="P179" s="1">
        <f>SUM(OSRRefP22_18x_0)</f>
        <v>27586.53</v>
      </c>
      <c r="Q179" s="1"/>
      <c r="R179" s="5">
        <f t="shared" ref="R179:R185" si="107">IF(P$12=0,0,P179/P$12)</f>
        <v>1.1902312942227463E-2</v>
      </c>
      <c r="S179" s="1"/>
      <c r="T179" s="1">
        <f>SUM(OSRRefT22_18x_0)</f>
        <v>33390.14</v>
      </c>
      <c r="U179" s="1"/>
      <c r="V179" s="5">
        <f t="shared" ref="V179:V185" si="108">IF(T$12=0,0,T179/T$12)</f>
        <v>1.5219527453384949E-2</v>
      </c>
      <c r="W179" s="1"/>
      <c r="X179" s="1">
        <f t="shared" ref="X179:X185" si="109">+P179-T179</f>
        <v>-5803.6100000000006</v>
      </c>
      <c r="Y179" s="1"/>
      <c r="Z179" s="5">
        <f t="shared" ref="Z179:Z185" si="110">IF(T179=0,0,X179/T179)</f>
        <v>-0.17381208943718118</v>
      </c>
    </row>
    <row r="180" spans="1:26" s="24" customFormat="1" hidden="1" outlineLevel="2" x14ac:dyDescent="0.25">
      <c r="A180" s="28"/>
      <c r="B180" s="11" t="str">
        <f>CONCATENATE("          ", "6235", " - ", "COVID-19 EXPENSES")</f>
        <v xml:space="preserve">          6235 - COVID-19 EXPENSES</v>
      </c>
      <c r="C180" s="11"/>
      <c r="D180" s="7">
        <v>462.49</v>
      </c>
      <c r="E180" s="2"/>
      <c r="F180" s="6">
        <f t="shared" si="103"/>
        <v>7.913216030643645E-4</v>
      </c>
      <c r="G180" s="2"/>
      <c r="H180" s="7">
        <v>2460.7800000000002</v>
      </c>
      <c r="I180" s="2"/>
      <c r="J180" s="6">
        <f t="shared" si="104"/>
        <v>6.6661633412378185E-3</v>
      </c>
      <c r="K180" s="2"/>
      <c r="L180" s="7">
        <f t="shared" si="105"/>
        <v>-1998.2900000000002</v>
      </c>
      <c r="M180" s="2"/>
      <c r="N180" s="6">
        <f t="shared" si="106"/>
        <v>-0.81205552710929052</v>
      </c>
      <c r="O180" s="11"/>
      <c r="P180" s="7">
        <v>3430.32</v>
      </c>
      <c r="Q180" s="2"/>
      <c r="R180" s="6">
        <f t="shared" si="107"/>
        <v>1.4800245674965904E-3</v>
      </c>
      <c r="S180" s="2"/>
      <c r="T180" s="7">
        <v>9094.67</v>
      </c>
      <c r="U180" s="2"/>
      <c r="V180" s="6">
        <f t="shared" si="108"/>
        <v>4.1454327458488194E-3</v>
      </c>
      <c r="W180" s="2"/>
      <c r="X180" s="7">
        <f t="shared" si="109"/>
        <v>-5664.35</v>
      </c>
      <c r="Y180" s="2"/>
      <c r="Z180" s="6">
        <f t="shared" si="110"/>
        <v>-0.62282083901889795</v>
      </c>
    </row>
    <row r="181" spans="1:26" s="24" customFormat="1" hidden="1" outlineLevel="2" x14ac:dyDescent="0.25">
      <c r="A181" s="28"/>
      <c r="B181" s="11" t="str">
        <f>CONCATENATE("          ", "6237", " - ", "JANITORIAL SUPPLIES")</f>
        <v xml:space="preserve">          6237 - JANITORIAL SUPPLIES</v>
      </c>
      <c r="C181" s="11"/>
      <c r="D181" s="7">
        <v>247</v>
      </c>
      <c r="E181" s="2"/>
      <c r="F181" s="6">
        <f t="shared" si="103"/>
        <v>4.2261764785594936E-4</v>
      </c>
      <c r="G181" s="2"/>
      <c r="H181" s="7"/>
      <c r="I181" s="2"/>
      <c r="J181" s="6">
        <f t="shared" si="104"/>
        <v>0</v>
      </c>
      <c r="K181" s="2"/>
      <c r="L181" s="7">
        <f t="shared" si="105"/>
        <v>247</v>
      </c>
      <c r="M181" s="2"/>
      <c r="N181" s="6">
        <f t="shared" si="106"/>
        <v>0</v>
      </c>
      <c r="O181" s="11"/>
      <c r="P181" s="7">
        <v>2072.69</v>
      </c>
      <c r="Q181" s="2"/>
      <c r="R181" s="6">
        <f t="shared" si="107"/>
        <v>8.942699575562944E-4</v>
      </c>
      <c r="S181" s="2"/>
      <c r="T181" s="7">
        <v>139.31</v>
      </c>
      <c r="U181" s="2"/>
      <c r="V181" s="6">
        <f t="shared" si="108"/>
        <v>6.349875650509573E-5</v>
      </c>
      <c r="W181" s="2"/>
      <c r="X181" s="7">
        <f t="shared" si="109"/>
        <v>1933.38</v>
      </c>
      <c r="Y181" s="2"/>
      <c r="Z181" s="6">
        <f t="shared" si="110"/>
        <v>13.878257124398823</v>
      </c>
    </row>
    <row r="182" spans="1:26" s="24" customFormat="1" hidden="1" outlineLevel="2" x14ac:dyDescent="0.25">
      <c r="A182" s="28"/>
      <c r="B182" s="11" t="str">
        <f>CONCATENATE("          ", "6241", " - ", "OFFICE EXPENSE")</f>
        <v xml:space="preserve">          6241 - OFFICE EXPENSE</v>
      </c>
      <c r="C182" s="11"/>
      <c r="D182" s="7">
        <v>278.41000000000003</v>
      </c>
      <c r="E182" s="2"/>
      <c r="F182" s="6">
        <f t="shared" si="103"/>
        <v>4.763602402411938E-4</v>
      </c>
      <c r="G182" s="2"/>
      <c r="H182" s="7">
        <v>4755.57</v>
      </c>
      <c r="I182" s="2"/>
      <c r="J182" s="6">
        <f t="shared" si="104"/>
        <v>1.2882665821686753E-2</v>
      </c>
      <c r="K182" s="2"/>
      <c r="L182" s="7">
        <f t="shared" si="105"/>
        <v>-4477.16</v>
      </c>
      <c r="M182" s="2"/>
      <c r="N182" s="6">
        <f t="shared" si="106"/>
        <v>-0.9414560189419986</v>
      </c>
      <c r="O182" s="11"/>
      <c r="P182" s="7">
        <v>6039.15</v>
      </c>
      <c r="Q182" s="2"/>
      <c r="R182" s="6">
        <f t="shared" si="107"/>
        <v>2.6056141604273164E-3</v>
      </c>
      <c r="S182" s="2"/>
      <c r="T182" s="7">
        <v>7479.49</v>
      </c>
      <c r="U182" s="2"/>
      <c r="V182" s="6">
        <f t="shared" si="108"/>
        <v>3.4092191105613272E-3</v>
      </c>
      <c r="W182" s="2"/>
      <c r="X182" s="7">
        <f t="shared" si="109"/>
        <v>-1440.3400000000001</v>
      </c>
      <c r="Y182" s="2"/>
      <c r="Z182" s="6">
        <f t="shared" si="110"/>
        <v>-0.19257195343532785</v>
      </c>
    </row>
    <row r="183" spans="1:26" s="24" customFormat="1" hidden="1" outlineLevel="2" x14ac:dyDescent="0.25">
      <c r="A183" s="28"/>
      <c r="B183" s="11" t="str">
        <f>CONCATENATE("          ", "6243", " - ", "PAPER SUPPLIES")</f>
        <v xml:space="preserve">          6243 - PAPER SUPPLIES</v>
      </c>
      <c r="C183" s="11"/>
      <c r="D183" s="7"/>
      <c r="E183" s="2"/>
      <c r="F183" s="6">
        <f t="shared" si="103"/>
        <v>0</v>
      </c>
      <c r="G183" s="2"/>
      <c r="H183" s="7"/>
      <c r="I183" s="2"/>
      <c r="J183" s="6">
        <f t="shared" si="104"/>
        <v>0</v>
      </c>
      <c r="K183" s="2"/>
      <c r="L183" s="7">
        <f t="shared" si="105"/>
        <v>0</v>
      </c>
      <c r="M183" s="2"/>
      <c r="N183" s="6">
        <f t="shared" si="106"/>
        <v>0</v>
      </c>
      <c r="O183" s="11"/>
      <c r="P183" s="7">
        <v>3450.92</v>
      </c>
      <c r="Q183" s="2"/>
      <c r="R183" s="6">
        <f t="shared" si="107"/>
        <v>1.4889125155861066E-3</v>
      </c>
      <c r="S183" s="2"/>
      <c r="T183" s="7">
        <v>3124.69</v>
      </c>
      <c r="U183" s="2"/>
      <c r="V183" s="6">
        <f t="shared" si="108"/>
        <v>1.4242619299684703E-3</v>
      </c>
      <c r="W183" s="2"/>
      <c r="X183" s="7">
        <f t="shared" si="109"/>
        <v>326.23</v>
      </c>
      <c r="Y183" s="2"/>
      <c r="Z183" s="6">
        <f t="shared" si="110"/>
        <v>0.10440395687252176</v>
      </c>
    </row>
    <row r="184" spans="1:26" s="24" customFormat="1" hidden="1" outlineLevel="2" x14ac:dyDescent="0.25">
      <c r="A184" s="28"/>
      <c r="B184" s="11" t="str">
        <f>CONCATENATE("          ", "6245", " - ", "PRINTING")</f>
        <v xml:space="preserve">          6245 - PRINTING</v>
      </c>
      <c r="C184" s="11"/>
      <c r="D184" s="7">
        <v>276.43</v>
      </c>
      <c r="E184" s="2"/>
      <c r="F184" s="6">
        <f t="shared" si="103"/>
        <v>4.7297245504785459E-4</v>
      </c>
      <c r="G184" s="2"/>
      <c r="H184" s="7">
        <v>356.96</v>
      </c>
      <c r="I184" s="2"/>
      <c r="J184" s="6">
        <f t="shared" si="104"/>
        <v>9.6699163122597367E-4</v>
      </c>
      <c r="K184" s="2"/>
      <c r="L184" s="7">
        <f t="shared" si="105"/>
        <v>-80.529999999999973</v>
      </c>
      <c r="M184" s="2"/>
      <c r="N184" s="6">
        <f t="shared" si="106"/>
        <v>-0.22559950694755709</v>
      </c>
      <c r="O184" s="11"/>
      <c r="P184" s="7">
        <v>-323.75</v>
      </c>
      <c r="Q184" s="2"/>
      <c r="R184" s="6">
        <f t="shared" si="107"/>
        <v>-1.3968316475635541E-4</v>
      </c>
      <c r="S184" s="2"/>
      <c r="T184" s="7">
        <v>61.46</v>
      </c>
      <c r="U184" s="2"/>
      <c r="V184" s="6">
        <f t="shared" si="108"/>
        <v>2.8014023220179339E-5</v>
      </c>
      <c r="W184" s="2"/>
      <c r="X184" s="7">
        <f t="shared" si="109"/>
        <v>-385.21</v>
      </c>
      <c r="Y184" s="2"/>
      <c r="Z184" s="6">
        <f t="shared" si="110"/>
        <v>-6.2676537585421412</v>
      </c>
    </row>
    <row r="185" spans="1:26" s="24" customFormat="1" hidden="1" outlineLevel="2" x14ac:dyDescent="0.25">
      <c r="A185" s="28"/>
      <c r="B185" s="11" t="str">
        <f>CONCATENATE("          ", "6247", " - ", "STORE SUPPLIES")</f>
        <v xml:space="preserve">          6247 - STORE SUPPLIES</v>
      </c>
      <c r="C185" s="11"/>
      <c r="D185" s="7">
        <v>4087.49</v>
      </c>
      <c r="E185" s="2"/>
      <c r="F185" s="6">
        <f t="shared" si="103"/>
        <v>6.9937061110717184E-3</v>
      </c>
      <c r="G185" s="2"/>
      <c r="H185" s="7">
        <v>6278.89</v>
      </c>
      <c r="I185" s="2"/>
      <c r="J185" s="6">
        <f t="shared" si="104"/>
        <v>1.7009284186991411E-2</v>
      </c>
      <c r="K185" s="2"/>
      <c r="L185" s="7">
        <f t="shared" si="105"/>
        <v>-2191.4000000000005</v>
      </c>
      <c r="M185" s="2"/>
      <c r="N185" s="6">
        <f t="shared" si="106"/>
        <v>-0.34901073278875733</v>
      </c>
      <c r="O185" s="11"/>
      <c r="P185" s="7">
        <v>12917.2</v>
      </c>
      <c r="Q185" s="2"/>
      <c r="R185" s="6">
        <f t="shared" si="107"/>
        <v>5.5731749059175113E-3</v>
      </c>
      <c r="S185" s="2"/>
      <c r="T185" s="7">
        <v>13490.52</v>
      </c>
      <c r="U185" s="2"/>
      <c r="V185" s="6">
        <f t="shared" si="108"/>
        <v>6.1491008872810579E-3</v>
      </c>
      <c r="W185" s="2"/>
      <c r="X185" s="7">
        <f t="shared" si="109"/>
        <v>-573.31999999999971</v>
      </c>
      <c r="Y185" s="2"/>
      <c r="Z185" s="6">
        <f t="shared" si="110"/>
        <v>-4.2497991181955901E-2</v>
      </c>
    </row>
    <row r="186" spans="1:26" s="27" customFormat="1" outlineLevel="1" collapsed="1" x14ac:dyDescent="0.25">
      <c r="A186" s="29"/>
      <c r="B186" s="14" t="str">
        <f>CONCATENATE("     ","Telephone/Data Lines                              ")</f>
        <v xml:space="preserve">     Telephone/Data Lines                              </v>
      </c>
      <c r="C186" s="14"/>
      <c r="D186" s="1">
        <f>SUM(OSRRefD22_19x_0)</f>
        <v>1526.19</v>
      </c>
      <c r="E186" s="1"/>
      <c r="F186" s="5">
        <f t="shared" ref="F186:F188" si="111">IF(D$12=0,0,D186/D$12)</f>
        <v>2.6113150930415843E-3</v>
      </c>
      <c r="G186" s="1"/>
      <c r="H186" s="1">
        <f>SUM(OSRRefH22_19x_0)</f>
        <v>5060.54</v>
      </c>
      <c r="I186" s="1"/>
      <c r="J186" s="5">
        <f t="shared" ref="J186:J188" si="112">IF(H$12=0,0,H186/H$12)</f>
        <v>1.3708818437596058E-2</v>
      </c>
      <c r="K186" s="1"/>
      <c r="L186" s="1">
        <f t="shared" ref="L186:L188" si="113">+D186-H186</f>
        <v>-3534.35</v>
      </c>
      <c r="M186" s="1"/>
      <c r="N186" s="5">
        <f t="shared" ref="N186:N188" si="114">IF(H186=0,0,L186/H186)</f>
        <v>-0.69841360803392527</v>
      </c>
      <c r="O186" s="14"/>
      <c r="P186" s="1">
        <f>SUM(OSRRefP22_19x_0)</f>
        <v>5217.82</v>
      </c>
      <c r="Q186" s="1"/>
      <c r="R186" s="5">
        <f t="shared" ref="R186:R188" si="115">IF(P$12=0,0,P186/P$12)</f>
        <v>2.2512482184679733E-3</v>
      </c>
      <c r="S186" s="1"/>
      <c r="T186" s="1">
        <f>SUM(OSRRefT22_19x_0)</f>
        <v>9530.7900000000009</v>
      </c>
      <c r="U186" s="1"/>
      <c r="V186" s="5">
        <f t="shared" ref="V186:V188" si="116">IF(T$12=0,0,T186/T$12)</f>
        <v>4.3442201816897667E-3</v>
      </c>
      <c r="W186" s="1"/>
      <c r="X186" s="1">
        <f t="shared" ref="X186:X188" si="117">+P186-T186</f>
        <v>-4312.9700000000012</v>
      </c>
      <c r="Y186" s="1"/>
      <c r="Z186" s="5">
        <f t="shared" ref="Z186:Z188" si="118">IF(T186=0,0,X186/T186)</f>
        <v>-0.45253016801335472</v>
      </c>
    </row>
    <row r="187" spans="1:26" s="24" customFormat="1" hidden="1" outlineLevel="2" x14ac:dyDescent="0.25">
      <c r="A187" s="28"/>
      <c r="B187" s="11" t="str">
        <f>CONCATENATE("          ", "6303", " - ", "DATA PHONE LINES")</f>
        <v xml:space="preserve">          6303 - DATA PHONE LINES</v>
      </c>
      <c r="C187" s="11"/>
      <c r="D187" s="7"/>
      <c r="E187" s="2"/>
      <c r="F187" s="6">
        <f t="shared" si="111"/>
        <v>0</v>
      </c>
      <c r="G187" s="2"/>
      <c r="H187" s="7">
        <v>885</v>
      </c>
      <c r="I187" s="2"/>
      <c r="J187" s="6">
        <f t="shared" si="112"/>
        <v>2.397432747744808E-3</v>
      </c>
      <c r="K187" s="2"/>
      <c r="L187" s="7">
        <f t="shared" si="113"/>
        <v>-885</v>
      </c>
      <c r="M187" s="2"/>
      <c r="N187" s="6">
        <f t="shared" si="114"/>
        <v>-1</v>
      </c>
      <c r="O187" s="11"/>
      <c r="P187" s="7">
        <v>295</v>
      </c>
      <c r="Q187" s="2"/>
      <c r="R187" s="6">
        <f t="shared" si="115"/>
        <v>1.272788682722003E-4</v>
      </c>
      <c r="S187" s="2"/>
      <c r="T187" s="7">
        <v>1180</v>
      </c>
      <c r="U187" s="2"/>
      <c r="V187" s="6">
        <f t="shared" si="116"/>
        <v>5.3785465993836019E-4</v>
      </c>
      <c r="W187" s="2"/>
      <c r="X187" s="7">
        <f t="shared" si="117"/>
        <v>-885</v>
      </c>
      <c r="Y187" s="2"/>
      <c r="Z187" s="6">
        <f t="shared" si="118"/>
        <v>-0.75</v>
      </c>
    </row>
    <row r="188" spans="1:26" s="24" customFormat="1" hidden="1" outlineLevel="2" x14ac:dyDescent="0.25">
      <c r="A188" s="28"/>
      <c r="B188" s="11" t="str">
        <f>CONCATENATE("          ", "6309", " - ", "TELEPHONE")</f>
        <v xml:space="preserve">          6309 - TELEPHONE</v>
      </c>
      <c r="C188" s="11"/>
      <c r="D188" s="7">
        <v>1526.19</v>
      </c>
      <c r="E188" s="2"/>
      <c r="F188" s="6">
        <f t="shared" si="111"/>
        <v>2.6113150930415843E-3</v>
      </c>
      <c r="G188" s="2"/>
      <c r="H188" s="7">
        <v>4175.54</v>
      </c>
      <c r="I188" s="2"/>
      <c r="J188" s="6">
        <f t="shared" si="112"/>
        <v>1.1311385689851249E-2</v>
      </c>
      <c r="K188" s="2"/>
      <c r="L188" s="7">
        <f t="shared" si="113"/>
        <v>-2649.35</v>
      </c>
      <c r="M188" s="2"/>
      <c r="N188" s="6">
        <f t="shared" si="114"/>
        <v>-0.6344927841668383</v>
      </c>
      <c r="O188" s="11"/>
      <c r="P188" s="7">
        <v>4922.82</v>
      </c>
      <c r="Q188" s="2"/>
      <c r="R188" s="6">
        <f t="shared" si="115"/>
        <v>2.1239693501957728E-3</v>
      </c>
      <c r="S188" s="2"/>
      <c r="T188" s="7">
        <v>8350.7900000000009</v>
      </c>
      <c r="U188" s="2"/>
      <c r="V188" s="6">
        <f t="shared" si="116"/>
        <v>3.8063655217514068E-3</v>
      </c>
      <c r="W188" s="2"/>
      <c r="X188" s="7">
        <f t="shared" si="117"/>
        <v>-3427.9700000000012</v>
      </c>
      <c r="Y188" s="2"/>
      <c r="Z188" s="6">
        <f t="shared" si="118"/>
        <v>-0.41049649194866605</v>
      </c>
    </row>
    <row r="189" spans="1:26" s="27" customFormat="1" outlineLevel="1" collapsed="1" x14ac:dyDescent="0.25">
      <c r="A189" s="29"/>
      <c r="B189" s="14" t="str">
        <f>CONCATENATE("     ","Training                                          ")</f>
        <v xml:space="preserve">     Training                                          </v>
      </c>
      <c r="C189" s="14"/>
      <c r="D189" s="1">
        <f>SUM(OSRRefD22_20x_0)</f>
        <v>595</v>
      </c>
      <c r="E189" s="1"/>
      <c r="F189" s="5">
        <f t="shared" ref="F189:F194" si="119">IF(D$12=0,0,D189/D$12)</f>
        <v>1.0180465606246553E-3</v>
      </c>
      <c r="G189" s="1"/>
      <c r="H189" s="1">
        <f>SUM(OSRRefH22_20x_0)</f>
        <v>0</v>
      </c>
      <c r="I189" s="1"/>
      <c r="J189" s="5">
        <f t="shared" ref="J189:J194" si="120">IF(H$12=0,0,H189/H$12)</f>
        <v>0</v>
      </c>
      <c r="K189" s="1"/>
      <c r="L189" s="1">
        <f t="shared" ref="L189:L194" si="121">+D189-H189</f>
        <v>595</v>
      </c>
      <c r="M189" s="1"/>
      <c r="N189" s="5">
        <f t="shared" ref="N189:N194" si="122">IF(H189=0,0,L189/H189)</f>
        <v>0</v>
      </c>
      <c r="O189" s="14"/>
      <c r="P189" s="1">
        <f>SUM(OSRRefP22_20x_0)</f>
        <v>595</v>
      </c>
      <c r="Q189" s="1"/>
      <c r="R189" s="5">
        <f t="shared" ref="R189:R194" si="123">IF(P$12=0,0,P189/P$12)</f>
        <v>2.5671500549816673E-4</v>
      </c>
      <c r="S189" s="1"/>
      <c r="T189" s="1">
        <f>SUM(OSRRefT22_20x_0)</f>
        <v>131.63</v>
      </c>
      <c r="U189" s="1"/>
      <c r="V189" s="5">
        <f t="shared" ref="V189:V194" si="124">IF(T$12=0,0,T189/T$12)</f>
        <v>5.9998143125157929E-5</v>
      </c>
      <c r="W189" s="1"/>
      <c r="X189" s="1">
        <f t="shared" ref="X189:X194" si="125">+P189-T189</f>
        <v>463.37</v>
      </c>
      <c r="Y189" s="1"/>
      <c r="Z189" s="5">
        <f t="shared" ref="Z189:Z194" si="126">IF(T189=0,0,X189/T189)</f>
        <v>3.5202461444959359</v>
      </c>
    </row>
    <row r="190" spans="1:26" s="24" customFormat="1" hidden="1" outlineLevel="2" x14ac:dyDescent="0.25">
      <c r="A190" s="28"/>
      <c r="B190" s="11" t="str">
        <f>CONCATENATE("          ", "6376", " - ", "TRAINING")</f>
        <v xml:space="preserve">          6376 - TRAINING</v>
      </c>
      <c r="C190" s="11"/>
      <c r="D190" s="7">
        <v>595</v>
      </c>
      <c r="E190" s="2"/>
      <c r="F190" s="6">
        <f t="shared" si="119"/>
        <v>1.0180465606246553E-3</v>
      </c>
      <c r="G190" s="2"/>
      <c r="H190" s="7"/>
      <c r="I190" s="2"/>
      <c r="J190" s="6">
        <f t="shared" si="120"/>
        <v>0</v>
      </c>
      <c r="K190" s="2"/>
      <c r="L190" s="7">
        <f t="shared" si="121"/>
        <v>595</v>
      </c>
      <c r="M190" s="2"/>
      <c r="N190" s="6">
        <f t="shared" si="122"/>
        <v>0</v>
      </c>
      <c r="O190" s="11"/>
      <c r="P190" s="7">
        <v>595</v>
      </c>
      <c r="Q190" s="2"/>
      <c r="R190" s="6">
        <f t="shared" si="123"/>
        <v>2.5671500549816673E-4</v>
      </c>
      <c r="S190" s="2"/>
      <c r="T190" s="7">
        <v>131.63</v>
      </c>
      <c r="U190" s="2"/>
      <c r="V190" s="6">
        <f t="shared" si="124"/>
        <v>5.9998143125157929E-5</v>
      </c>
      <c r="W190" s="2"/>
      <c r="X190" s="7">
        <f t="shared" si="125"/>
        <v>463.37</v>
      </c>
      <c r="Y190" s="2"/>
      <c r="Z190" s="6">
        <f t="shared" si="126"/>
        <v>3.5202461444959359</v>
      </c>
    </row>
    <row r="191" spans="1:26" s="27" customFormat="1" outlineLevel="1" collapsed="1" x14ac:dyDescent="0.25">
      <c r="A191" s="29"/>
      <c r="B191" s="14" t="str">
        <f>CONCATENATE("     ","Travel                                            ")</f>
        <v xml:space="preserve">     Travel                                            </v>
      </c>
      <c r="C191" s="14"/>
      <c r="D191" s="1">
        <f>SUM(OSRRefD22_21x_0)</f>
        <v>27.39</v>
      </c>
      <c r="E191" s="1"/>
      <c r="F191" s="5">
        <f t="shared" si="119"/>
        <v>4.6864361841192118E-5</v>
      </c>
      <c r="G191" s="1"/>
      <c r="H191" s="1">
        <f>SUM(OSRRefH22_21x_0)</f>
        <v>0</v>
      </c>
      <c r="I191" s="1"/>
      <c r="J191" s="5">
        <f t="shared" si="120"/>
        <v>0</v>
      </c>
      <c r="K191" s="1"/>
      <c r="L191" s="1">
        <f t="shared" si="121"/>
        <v>27.39</v>
      </c>
      <c r="M191" s="1"/>
      <c r="N191" s="5">
        <f t="shared" si="122"/>
        <v>0</v>
      </c>
      <c r="O191" s="14"/>
      <c r="P191" s="1">
        <f>SUM(OSRRefP22_21x_0)</f>
        <v>710.53</v>
      </c>
      <c r="Q191" s="1"/>
      <c r="R191" s="5">
        <f t="shared" si="123"/>
        <v>3.0656086194388637E-4</v>
      </c>
      <c r="S191" s="1"/>
      <c r="T191" s="1">
        <f>SUM(OSRRefT22_21x_0)</f>
        <v>300.96999999999997</v>
      </c>
      <c r="U191" s="1"/>
      <c r="V191" s="5">
        <f t="shared" si="124"/>
        <v>1.3718484491665107E-4</v>
      </c>
      <c r="W191" s="1"/>
      <c r="X191" s="1">
        <f t="shared" si="125"/>
        <v>409.56</v>
      </c>
      <c r="Y191" s="1"/>
      <c r="Z191" s="5">
        <f t="shared" si="126"/>
        <v>1.3608000797421671</v>
      </c>
    </row>
    <row r="192" spans="1:26" s="24" customFormat="1" hidden="1" outlineLevel="2" x14ac:dyDescent="0.25">
      <c r="A192" s="28"/>
      <c r="B192" s="11" t="str">
        <f>CONCATENATE("          ", "6292", " - ", "TRAVEL/CONFERENCE")</f>
        <v xml:space="preserve">          6292 - TRAVEL/CONFERENCE</v>
      </c>
      <c r="C192" s="11"/>
      <c r="D192" s="7"/>
      <c r="E192" s="2"/>
      <c r="F192" s="6">
        <f t="shared" si="119"/>
        <v>0</v>
      </c>
      <c r="G192" s="2"/>
      <c r="H192" s="7"/>
      <c r="I192" s="2"/>
      <c r="J192" s="6">
        <f t="shared" si="120"/>
        <v>0</v>
      </c>
      <c r="K192" s="2"/>
      <c r="L192" s="7">
        <f t="shared" si="121"/>
        <v>0</v>
      </c>
      <c r="M192" s="2"/>
      <c r="N192" s="6">
        <f t="shared" si="122"/>
        <v>0</v>
      </c>
      <c r="O192" s="11"/>
      <c r="P192" s="7">
        <v>495</v>
      </c>
      <c r="Q192" s="2"/>
      <c r="R192" s="6">
        <f t="shared" si="123"/>
        <v>2.1356962642284457E-4</v>
      </c>
      <c r="S192" s="2"/>
      <c r="T192" s="7">
        <v>0.16</v>
      </c>
      <c r="U192" s="2"/>
      <c r="V192" s="6">
        <f t="shared" si="124"/>
        <v>7.2929445415370879E-8</v>
      </c>
      <c r="W192" s="2"/>
      <c r="X192" s="7">
        <f t="shared" si="125"/>
        <v>494.84</v>
      </c>
      <c r="Y192" s="2"/>
      <c r="Z192" s="6">
        <f t="shared" si="126"/>
        <v>3092.75</v>
      </c>
    </row>
    <row r="193" spans="1:26" s="24" customFormat="1" hidden="1" outlineLevel="2" x14ac:dyDescent="0.25">
      <c r="A193" s="28"/>
      <c r="B193" s="11" t="str">
        <f>CONCATENATE("          ", "6294", " - ", "TRAVEL OPERATIONAL")</f>
        <v xml:space="preserve">          6294 - TRAVEL OPERATIONAL</v>
      </c>
      <c r="C193" s="11"/>
      <c r="D193" s="7">
        <v>27.39</v>
      </c>
      <c r="E193" s="2"/>
      <c r="F193" s="6">
        <f t="shared" si="119"/>
        <v>4.6864361841192118E-5</v>
      </c>
      <c r="G193" s="2"/>
      <c r="H193" s="7"/>
      <c r="I193" s="2"/>
      <c r="J193" s="6">
        <f t="shared" si="120"/>
        <v>0</v>
      </c>
      <c r="K193" s="2"/>
      <c r="L193" s="7">
        <f t="shared" si="121"/>
        <v>27.39</v>
      </c>
      <c r="M193" s="2"/>
      <c r="N193" s="6">
        <f t="shared" si="122"/>
        <v>0</v>
      </c>
      <c r="O193" s="11"/>
      <c r="P193" s="7">
        <v>215.53</v>
      </c>
      <c r="Q193" s="2"/>
      <c r="R193" s="6">
        <f t="shared" si="123"/>
        <v>9.2991235521041801E-5</v>
      </c>
      <c r="S193" s="2"/>
      <c r="T193" s="7">
        <v>240.92</v>
      </c>
      <c r="U193" s="2"/>
      <c r="V193" s="6">
        <f t="shared" si="124"/>
        <v>1.098135124341947E-4</v>
      </c>
      <c r="W193" s="2"/>
      <c r="X193" s="7">
        <f t="shared" si="125"/>
        <v>-25.389999999999986</v>
      </c>
      <c r="Y193" s="2"/>
      <c r="Z193" s="6">
        <f t="shared" si="126"/>
        <v>-0.10538768055786148</v>
      </c>
    </row>
    <row r="194" spans="1:26" s="24" customFormat="1" hidden="1" outlineLevel="2" x14ac:dyDescent="0.25">
      <c r="A194" s="28"/>
      <c r="B194" s="11" t="str">
        <f>CONCATENATE("          ", "6298", " - ", "VEHICLE MILEAGE")</f>
        <v xml:space="preserve">          6298 - VEHICLE MILEAGE</v>
      </c>
      <c r="C194" s="11"/>
      <c r="D194" s="7"/>
      <c r="E194" s="2"/>
      <c r="F194" s="6">
        <f t="shared" si="119"/>
        <v>0</v>
      </c>
      <c r="G194" s="2"/>
      <c r="H194" s="7"/>
      <c r="I194" s="2"/>
      <c r="J194" s="6">
        <f t="shared" si="120"/>
        <v>0</v>
      </c>
      <c r="K194" s="2"/>
      <c r="L194" s="7">
        <f t="shared" si="121"/>
        <v>0</v>
      </c>
      <c r="M194" s="2"/>
      <c r="N194" s="6">
        <f t="shared" si="122"/>
        <v>0</v>
      </c>
      <c r="O194" s="11"/>
      <c r="P194" s="7"/>
      <c r="Q194" s="2"/>
      <c r="R194" s="6">
        <f t="shared" si="123"/>
        <v>0</v>
      </c>
      <c r="S194" s="2"/>
      <c r="T194" s="7">
        <v>59.89</v>
      </c>
      <c r="U194" s="2"/>
      <c r="V194" s="6">
        <f t="shared" si="124"/>
        <v>2.7298403037041013E-5</v>
      </c>
      <c r="W194" s="2"/>
      <c r="X194" s="7">
        <f t="shared" si="125"/>
        <v>-59.89</v>
      </c>
      <c r="Y194" s="2"/>
      <c r="Z194" s="6">
        <f t="shared" si="126"/>
        <v>-1</v>
      </c>
    </row>
    <row r="195" spans="1:26" s="27" customFormat="1" outlineLevel="1" collapsed="1" x14ac:dyDescent="0.25">
      <c r="A195" s="29"/>
      <c r="B195" s="14" t="str">
        <f>CONCATENATE("     ","Utilities                                         ")</f>
        <v xml:space="preserve">     Utilities                                         </v>
      </c>
      <c r="C195" s="14"/>
      <c r="D195" s="1">
        <f>SUM(OSRRefD22_22x_0)</f>
        <v>6037.6</v>
      </c>
      <c r="E195" s="1"/>
      <c r="F195" s="5">
        <f t="shared" ref="F195:F196" si="127">IF(D$12=0,0,D195/D$12)</f>
        <v>1.033034943601247E-2</v>
      </c>
      <c r="G195" s="1"/>
      <c r="H195" s="1">
        <f>SUM(OSRRefH22_22x_0)</f>
        <v>6161.01</v>
      </c>
      <c r="I195" s="1"/>
      <c r="J195" s="5">
        <f t="shared" ref="J195:J196" si="128">IF(H$12=0,0,H195/H$12)</f>
        <v>1.6689951562918918E-2</v>
      </c>
      <c r="K195" s="1"/>
      <c r="L195" s="1">
        <f t="shared" ref="L195:L196" si="129">+D195-H195</f>
        <v>-123.40999999999985</v>
      </c>
      <c r="M195" s="1"/>
      <c r="N195" s="5">
        <f t="shared" ref="N195:N196" si="130">IF(H195=0,0,L195/H195)</f>
        <v>-2.0030806637223418E-2</v>
      </c>
      <c r="O195" s="14"/>
      <c r="P195" s="1">
        <f>SUM(OSRRefP22_22x_0)</f>
        <v>18111.38</v>
      </c>
      <c r="Q195" s="1"/>
      <c r="R195" s="5">
        <f t="shared" ref="R195:R196" si="131">IF(P$12=0,0,P195/P$12)</f>
        <v>7.8142235567720784E-3</v>
      </c>
      <c r="S195" s="1"/>
      <c r="T195" s="1">
        <f>SUM(OSRRefT22_22x_0)</f>
        <v>18482.38</v>
      </c>
      <c r="U195" s="1"/>
      <c r="V195" s="5">
        <f t="shared" ref="V195:V196" si="132">IF(T$12=0,0,T195/T$12)</f>
        <v>8.42443577097589E-3</v>
      </c>
      <c r="W195" s="1"/>
      <c r="X195" s="1">
        <f t="shared" ref="X195:X196" si="133">+P195-T195</f>
        <v>-371</v>
      </c>
      <c r="Y195" s="1"/>
      <c r="Z195" s="5">
        <f t="shared" ref="Z195:Z196" si="134">IF(T195=0,0,X195/T195)</f>
        <v>-2.0073172394464347E-2</v>
      </c>
    </row>
    <row r="196" spans="1:26" s="24" customFormat="1" hidden="1" outlineLevel="2" x14ac:dyDescent="0.25">
      <c r="A196" s="28"/>
      <c r="B196" s="11" t="str">
        <f>CONCATENATE("          ", "6274", " - ", "UTILITIES")</f>
        <v xml:space="preserve">          6274 - UTILITIES</v>
      </c>
      <c r="C196" s="11"/>
      <c r="D196" s="7">
        <v>6037.6</v>
      </c>
      <c r="E196" s="2"/>
      <c r="F196" s="6">
        <f t="shared" si="127"/>
        <v>1.033034943601247E-2</v>
      </c>
      <c r="G196" s="2"/>
      <c r="H196" s="7">
        <v>6161.01</v>
      </c>
      <c r="I196" s="2"/>
      <c r="J196" s="6">
        <f t="shared" si="128"/>
        <v>1.6689951562918918E-2</v>
      </c>
      <c r="K196" s="2"/>
      <c r="L196" s="7">
        <f t="shared" si="129"/>
        <v>-123.40999999999985</v>
      </c>
      <c r="M196" s="2"/>
      <c r="N196" s="6">
        <f t="shared" si="130"/>
        <v>-2.0030806637223418E-2</v>
      </c>
      <c r="O196" s="11"/>
      <c r="P196" s="7">
        <v>18111.38</v>
      </c>
      <c r="Q196" s="2"/>
      <c r="R196" s="6">
        <f t="shared" si="131"/>
        <v>7.8142235567720784E-3</v>
      </c>
      <c r="S196" s="2"/>
      <c r="T196" s="7">
        <v>18482.38</v>
      </c>
      <c r="U196" s="2"/>
      <c r="V196" s="6">
        <f t="shared" si="132"/>
        <v>8.42443577097589E-3</v>
      </c>
      <c r="W196" s="2"/>
      <c r="X196" s="7">
        <f t="shared" si="133"/>
        <v>-371</v>
      </c>
      <c r="Y196" s="2"/>
      <c r="Z196" s="6">
        <f t="shared" si="134"/>
        <v>-2.0073172394464347E-2</v>
      </c>
    </row>
    <row r="197" spans="1:26" s="54" customFormat="1" x14ac:dyDescent="0.25">
      <c r="A197" s="37"/>
      <c r="B197" s="37"/>
      <c r="C197" s="37"/>
      <c r="D197" s="1"/>
      <c r="E197" s="1"/>
      <c r="F197" s="5"/>
      <c r="G197" s="1"/>
      <c r="H197" s="1"/>
      <c r="I197" s="1"/>
      <c r="J197" s="5"/>
      <c r="K197" s="1"/>
      <c r="L197" s="1"/>
      <c r="M197" s="1"/>
      <c r="N197" s="5"/>
      <c r="O197" s="37"/>
      <c r="P197" s="1"/>
      <c r="Q197" s="1"/>
      <c r="R197" s="5"/>
      <c r="S197" s="1"/>
      <c r="T197" s="1"/>
      <c r="U197" s="1"/>
      <c r="V197" s="5"/>
      <c r="W197" s="1"/>
      <c r="X197" s="1"/>
      <c r="Y197" s="1"/>
      <c r="Z197" s="5"/>
    </row>
    <row r="198" spans="1:26" s="23" customFormat="1" collapsed="1" x14ac:dyDescent="0.25">
      <c r="A198" s="10"/>
      <c r="B198" s="26" t="s">
        <v>292</v>
      </c>
      <c r="C198" s="10"/>
      <c r="D198" s="4">
        <f>SUM(OSRRefD25x_0)</f>
        <v>178854.33999999997</v>
      </c>
      <c r="E198" s="4"/>
      <c r="F198" s="12">
        <f t="shared" ref="F198:F202" si="135">IF(D$12=0,0,D198/D$12)</f>
        <v>0.30602024485679441</v>
      </c>
      <c r="G198" s="4"/>
      <c r="H198" s="4">
        <f>SUM(OSRRefH25x_0)</f>
        <v>166664.99</v>
      </c>
      <c r="I198" s="4"/>
      <c r="J198" s="12">
        <f t="shared" ref="J198:J202" si="136">IF(H$12=0,0,H198/H$12)</f>
        <v>0.45148938410006889</v>
      </c>
      <c r="K198" s="4"/>
      <c r="L198" s="4">
        <f t="shared" ref="L198:L202" si="137">+D198-H198</f>
        <v>12189.349999999977</v>
      </c>
      <c r="M198" s="4"/>
      <c r="N198" s="12">
        <f t="shared" ref="N198:N202" si="138">IF(H198=0,0,L198/H198)</f>
        <v>7.313683575656757E-2</v>
      </c>
      <c r="O198" s="10"/>
      <c r="P198" s="4">
        <f>SUM(OSRRefP25x_0)</f>
        <v>362851.27999999997</v>
      </c>
      <c r="Q198" s="4"/>
      <c r="R198" s="12">
        <f t="shared" ref="R198:R202" si="139">IF(P$12=0,0,P198/P$12)</f>
        <v>0.15655356023565853</v>
      </c>
      <c r="S198" s="4"/>
      <c r="T198" s="4">
        <f>SUM(OSRRefT25x_0)</f>
        <v>421405.64</v>
      </c>
      <c r="U198" s="4"/>
      <c r="V198" s="12">
        <f t="shared" ref="V198:V202" si="140">IF(T$12=0,0,T198/T$12)</f>
        <v>0.19208049762568397</v>
      </c>
      <c r="W198" s="4"/>
      <c r="X198" s="4">
        <f t="shared" ref="X198:X202" si="141">+P198-T198</f>
        <v>-58554.360000000044</v>
      </c>
      <c r="Y198" s="4"/>
      <c r="Z198" s="12">
        <f t="shared" ref="Z198:Z202" si="142">IF(T198=0,0,X198/T198)</f>
        <v>-0.13895010992259155</v>
      </c>
    </row>
    <row r="199" spans="1:26" s="24" customFormat="1" hidden="1" outlineLevel="1" x14ac:dyDescent="0.25">
      <c r="A199" s="44"/>
      <c r="B199" s="11" t="str">
        <f>CONCATENATE("          ", "9150", " - ", "MISC. INCOME")</f>
        <v xml:space="preserve">          9150 - MISC. INCOME</v>
      </c>
      <c r="C199" s="11"/>
      <c r="D199" s="2">
        <f>--21320.96</f>
        <v>21320.959999999999</v>
      </c>
      <c r="E199" s="2"/>
      <c r="F199" s="19">
        <f t="shared" si="135"/>
        <v>3.6480218482715716E-2</v>
      </c>
      <c r="G199" s="2"/>
      <c r="H199" s="2">
        <f>--18837.05</f>
        <v>18837.05</v>
      </c>
      <c r="I199" s="2"/>
      <c r="J199" s="19">
        <f t="shared" si="136"/>
        <v>5.1028881967125808E-2</v>
      </c>
      <c r="K199" s="2"/>
      <c r="L199" s="2">
        <f t="shared" si="137"/>
        <v>2483.91</v>
      </c>
      <c r="M199" s="2"/>
      <c r="N199" s="19">
        <f t="shared" si="138"/>
        <v>0.13186300402663897</v>
      </c>
      <c r="O199" s="11"/>
      <c r="P199" s="2">
        <f>--129438.57</f>
        <v>129438.57</v>
      </c>
      <c r="Q199" s="2"/>
      <c r="R199" s="19">
        <f t="shared" si="139"/>
        <v>5.5846761696176202E-2</v>
      </c>
      <c r="S199" s="2"/>
      <c r="T199" s="2">
        <f>--111367.41</f>
        <v>111367.41</v>
      </c>
      <c r="U199" s="2"/>
      <c r="V199" s="19">
        <f t="shared" si="140"/>
        <v>5.076227155403893E-2</v>
      </c>
      <c r="W199" s="2"/>
      <c r="X199" s="2">
        <f t="shared" si="141"/>
        <v>18071.160000000003</v>
      </c>
      <c r="Y199" s="2"/>
      <c r="Z199" s="19">
        <f t="shared" si="142"/>
        <v>0.16226614231218991</v>
      </c>
    </row>
    <row r="200" spans="1:26" s="24" customFormat="1" hidden="1" outlineLevel="1" x14ac:dyDescent="0.25">
      <c r="A200" s="44"/>
      <c r="B200" s="11" t="str">
        <f>CONCATENATE("          ", "9151", " - ", "MISC. INCOME")</f>
        <v xml:space="preserve">          9151 - MISC. INCOME</v>
      </c>
      <c r="C200" s="11"/>
      <c r="D200" s="2">
        <f>--156907</f>
        <v>156907</v>
      </c>
      <c r="E200" s="2"/>
      <c r="F200" s="19">
        <f t="shared" si="135"/>
        <v>0.26846828855114757</v>
      </c>
      <c r="G200" s="2"/>
      <c r="H200" s="2">
        <f>--147285.39</f>
        <v>147285.39000000001</v>
      </c>
      <c r="I200" s="2"/>
      <c r="J200" s="19">
        <f t="shared" si="136"/>
        <v>0.39899075395521549</v>
      </c>
      <c r="K200" s="2"/>
      <c r="L200" s="2">
        <f t="shared" si="137"/>
        <v>9621.609999999986</v>
      </c>
      <c r="M200" s="2"/>
      <c r="N200" s="19">
        <f t="shared" si="138"/>
        <v>6.5326302900783201E-2</v>
      </c>
      <c r="O200" s="11"/>
      <c r="P200" s="2">
        <f>--168463.36</f>
        <v>168463.35999999999</v>
      </c>
      <c r="Q200" s="2"/>
      <c r="R200" s="19">
        <f t="shared" si="139"/>
        <v>7.2684155275024601E-2</v>
      </c>
      <c r="S200" s="2"/>
      <c r="T200" s="2">
        <f>--147285.39</f>
        <v>147285.39000000001</v>
      </c>
      <c r="U200" s="2"/>
      <c r="V200" s="19">
        <f t="shared" si="140"/>
        <v>6.7134011315541336E-2</v>
      </c>
      <c r="W200" s="2"/>
      <c r="X200" s="2">
        <f t="shared" si="141"/>
        <v>21177.969999999972</v>
      </c>
      <c r="Y200" s="2"/>
      <c r="Z200" s="19">
        <f t="shared" si="142"/>
        <v>0.14378866770152809</v>
      </c>
    </row>
    <row r="201" spans="1:26" s="24" customFormat="1" hidden="1" outlineLevel="1" x14ac:dyDescent="0.25">
      <c r="A201" s="44"/>
      <c r="B201" s="11" t="str">
        <f>CONCATENATE("          ", "9152", " - ", "MISC. INCOME")</f>
        <v xml:space="preserve">          9152 - MISC. INCOME</v>
      </c>
      <c r="C201" s="11"/>
      <c r="D201" s="2">
        <f>--935.08</f>
        <v>935.08</v>
      </c>
      <c r="E201" s="2"/>
      <c r="F201" s="19">
        <f t="shared" si="135"/>
        <v>1.5999243326200046E-3</v>
      </c>
      <c r="G201" s="2"/>
      <c r="H201" s="2">
        <f>--542.55</f>
        <v>542.54999999999995</v>
      </c>
      <c r="I201" s="2"/>
      <c r="J201" s="19">
        <f t="shared" si="136"/>
        <v>1.4697481777276222E-3</v>
      </c>
      <c r="K201" s="2"/>
      <c r="L201" s="2">
        <f t="shared" si="137"/>
        <v>392.53000000000009</v>
      </c>
      <c r="M201" s="2"/>
      <c r="N201" s="19">
        <f t="shared" si="138"/>
        <v>0.72349092249562275</v>
      </c>
      <c r="O201" s="11"/>
      <c r="P201" s="2">
        <f>--1938.11</f>
        <v>1938.11</v>
      </c>
      <c r="Q201" s="2"/>
      <c r="R201" s="19">
        <f t="shared" si="139"/>
        <v>8.362049063967258E-4</v>
      </c>
      <c r="S201" s="2"/>
      <c r="T201" s="2">
        <f>--2088.94</f>
        <v>2088.94</v>
      </c>
      <c r="U201" s="2"/>
      <c r="V201" s="19">
        <f t="shared" si="140"/>
        <v>9.5215772316240531E-4</v>
      </c>
      <c r="W201" s="2"/>
      <c r="X201" s="2">
        <f t="shared" si="141"/>
        <v>-150.83000000000015</v>
      </c>
      <c r="Y201" s="2"/>
      <c r="Z201" s="19">
        <f t="shared" si="142"/>
        <v>-7.2204084368148513E-2</v>
      </c>
    </row>
    <row r="202" spans="1:26" s="24" customFormat="1" hidden="1" outlineLevel="1" x14ac:dyDescent="0.25">
      <c r="A202" s="44"/>
      <c r="B202" s="11" t="str">
        <f>CONCATENATE("          ", "9163", " - ", "MISC. INCOME")</f>
        <v xml:space="preserve">          9163 - MISC. INCOME</v>
      </c>
      <c r="C202" s="11"/>
      <c r="D202" s="2">
        <f>-308.7</f>
        <v>-308.7</v>
      </c>
      <c r="E202" s="2"/>
      <c r="F202" s="19">
        <f t="shared" si="135"/>
        <v>-5.2818650968879176E-4</v>
      </c>
      <c r="G202" s="2"/>
      <c r="H202" s="2">
        <f>0</f>
        <v>0</v>
      </c>
      <c r="I202" s="2"/>
      <c r="J202" s="19">
        <f t="shared" si="136"/>
        <v>0</v>
      </c>
      <c r="K202" s="2"/>
      <c r="L202" s="2">
        <f t="shared" si="137"/>
        <v>-308.7</v>
      </c>
      <c r="M202" s="2"/>
      <c r="N202" s="19">
        <f t="shared" si="138"/>
        <v>0</v>
      </c>
      <c r="O202" s="11"/>
      <c r="P202" s="2">
        <f>--63011.24</f>
        <v>63011.24</v>
      </c>
      <c r="Q202" s="2"/>
      <c r="R202" s="19">
        <f t="shared" si="139"/>
        <v>2.7186438358061012E-2</v>
      </c>
      <c r="S202" s="2"/>
      <c r="T202" s="2">
        <f>--160663.9</f>
        <v>160663.9</v>
      </c>
      <c r="U202" s="2"/>
      <c r="V202" s="19">
        <f t="shared" si="140"/>
        <v>7.3232057032941278E-2</v>
      </c>
      <c r="W202" s="2"/>
      <c r="X202" s="2">
        <f t="shared" si="141"/>
        <v>-97652.66</v>
      </c>
      <c r="Y202" s="2"/>
      <c r="Z202" s="19">
        <f t="shared" si="142"/>
        <v>-0.60780710539206384</v>
      </c>
    </row>
    <row r="203" spans="1:26" x14ac:dyDescent="0.25">
      <c r="A203" s="9"/>
      <c r="B203" s="10"/>
      <c r="C203" s="10"/>
      <c r="D203" s="3"/>
      <c r="E203" s="3"/>
      <c r="F203" s="8"/>
      <c r="G203" s="3"/>
      <c r="H203" s="3"/>
      <c r="I203" s="3"/>
      <c r="J203" s="8"/>
      <c r="K203" s="3"/>
      <c r="L203" s="3"/>
      <c r="M203" s="3"/>
      <c r="N203" s="8"/>
      <c r="O203" s="10"/>
      <c r="P203" s="3"/>
      <c r="Q203" s="3"/>
      <c r="R203" s="8"/>
      <c r="S203" s="3"/>
      <c r="T203" s="3"/>
      <c r="U203" s="3"/>
      <c r="V203" s="8"/>
      <c r="W203" s="3"/>
      <c r="X203" s="3"/>
      <c r="Y203" s="3"/>
      <c r="Z203" s="8"/>
    </row>
    <row r="204" spans="1:26" s="23" customFormat="1" x14ac:dyDescent="0.25">
      <c r="A204" s="10"/>
      <c r="B204" s="25" t="s">
        <v>276</v>
      </c>
      <c r="C204" s="25"/>
      <c r="D204" s="21">
        <f>+D112-D114+D198</f>
        <v>86136.530000000203</v>
      </c>
      <c r="E204" s="13"/>
      <c r="F204" s="22">
        <f>IF(D$12=0,0,D204/D$12)</f>
        <v>0.14737982875738262</v>
      </c>
      <c r="G204" s="13"/>
      <c r="H204" s="21">
        <f>+H112-H114+H198</f>
        <v>44869.319999999891</v>
      </c>
      <c r="I204" s="13"/>
      <c r="J204" s="22">
        <f>IF(H$12=0,0,H204/H$12)</f>
        <v>0.12154935269722127</v>
      </c>
      <c r="K204" s="16"/>
      <c r="L204" s="21">
        <f>+D204-H204</f>
        <v>41267.210000000312</v>
      </c>
      <c r="M204" s="16"/>
      <c r="N204" s="22">
        <f>IF(H204=0,0,L204/H204)</f>
        <v>0.91971997792702032</v>
      </c>
      <c r="O204" s="26"/>
      <c r="P204" s="21">
        <f>+P112-P114+P198</f>
        <v>180273.8999999995</v>
      </c>
      <c r="Q204" s="13"/>
      <c r="R204" s="22">
        <f>IF(P$12=0,0,P204/P$12)</f>
        <v>7.777985752886693E-2</v>
      </c>
      <c r="S204" s="13"/>
      <c r="T204" s="21">
        <f>+T112-T114+T198</f>
        <v>359059.29999999935</v>
      </c>
      <c r="U204" s="13"/>
      <c r="V204" s="22">
        <f>IF(T$12=0,0,T204/T$12)</f>
        <v>0.16366247262644518</v>
      </c>
      <c r="W204" s="16"/>
      <c r="X204" s="21">
        <f>+P204-T204</f>
        <v>-178785.39999999985</v>
      </c>
      <c r="Y204" s="16"/>
      <c r="Z204" s="22">
        <f>IF(T204=0,0,X204/T204)</f>
        <v>-0.4979272226064056</v>
      </c>
    </row>
    <row r="205" spans="1:26" x14ac:dyDescent="0.25">
      <c r="A205" s="9"/>
      <c r="B205" s="10"/>
      <c r="C205" s="9"/>
      <c r="D205" s="3"/>
      <c r="E205" s="3"/>
      <c r="F205" s="8"/>
      <c r="G205" s="3"/>
      <c r="H205" s="3"/>
      <c r="I205" s="3"/>
      <c r="J205" s="8"/>
      <c r="K205" s="3"/>
      <c r="L205" s="3"/>
      <c r="M205" s="3"/>
      <c r="N205" s="8"/>
      <c r="P205" s="3"/>
      <c r="Q205" s="3"/>
      <c r="R205" s="8"/>
      <c r="S205" s="3"/>
      <c r="T205" s="3"/>
      <c r="U205" s="3"/>
      <c r="V205" s="8"/>
      <c r="W205" s="3"/>
      <c r="X205" s="3"/>
      <c r="Y205" s="3"/>
      <c r="Z205" s="8"/>
    </row>
    <row r="206" spans="1:26" s="23" customFormat="1" x14ac:dyDescent="0.25">
      <c r="A206" s="51"/>
      <c r="B206" s="10" t="s">
        <v>127</v>
      </c>
      <c r="C206" s="10"/>
      <c r="D206" s="4">
        <v>27869.18</v>
      </c>
      <c r="E206" s="4"/>
      <c r="F206" s="12">
        <f>IF(D$12=0,0,D206/D$12)</f>
        <v>4.7684240078032659E-2</v>
      </c>
      <c r="G206" s="4"/>
      <c r="H206" s="4">
        <v>98345.279999999999</v>
      </c>
      <c r="I206" s="4"/>
      <c r="J206" s="12">
        <f>IF(H$12=0,0,H206/H$12)</f>
        <v>0.26641377950071471</v>
      </c>
      <c r="K206" s="4"/>
      <c r="L206" s="4">
        <f>+D206-H206</f>
        <v>-70476.100000000006</v>
      </c>
      <c r="M206" s="4"/>
      <c r="N206" s="12">
        <f>IF(H206=0,0,L206/H206)</f>
        <v>-0.7166190385547736</v>
      </c>
      <c r="O206" s="10"/>
      <c r="P206" s="4">
        <v>286880.38</v>
      </c>
      <c r="Q206" s="4"/>
      <c r="R206" s="12">
        <f>IF(P$12=0,0,P206/P$12)</f>
        <v>0.12377562744372463</v>
      </c>
      <c r="S206" s="4"/>
      <c r="T206" s="4">
        <v>406431.15</v>
      </c>
      <c r="U206" s="4"/>
      <c r="V206" s="12">
        <f>IF(T$12=0,0,T206/T$12)</f>
        <v>0.18525498980644636</v>
      </c>
      <c r="W206" s="4"/>
      <c r="X206" s="4">
        <f>+P206-T206</f>
        <v>-119550.77000000002</v>
      </c>
      <c r="Y206" s="4"/>
      <c r="Z206" s="12">
        <f>IF(T206=0,0,X206/T206)</f>
        <v>-0.29414765575916119</v>
      </c>
    </row>
    <row r="207" spans="1:26" x14ac:dyDescent="0.25">
      <c r="A207" s="9"/>
      <c r="B207" s="10"/>
      <c r="C207" s="10"/>
      <c r="D207" s="3"/>
      <c r="E207" s="3"/>
      <c r="F207" s="8"/>
      <c r="G207" s="3"/>
      <c r="H207" s="3"/>
      <c r="I207" s="3"/>
      <c r="J207" s="8"/>
      <c r="K207" s="3"/>
      <c r="L207" s="3"/>
      <c r="M207" s="3"/>
      <c r="N207" s="8"/>
      <c r="O207" s="10"/>
      <c r="P207" s="3"/>
      <c r="Q207" s="3"/>
      <c r="R207" s="8"/>
      <c r="S207" s="3"/>
      <c r="T207" s="3"/>
      <c r="U207" s="3"/>
      <c r="V207" s="8"/>
      <c r="W207" s="3"/>
      <c r="X207" s="3"/>
      <c r="Y207" s="3"/>
      <c r="Z207" s="8"/>
    </row>
    <row r="208" spans="1:26" s="23" customFormat="1" ht="15.75" thickBot="1" x14ac:dyDescent="0.3">
      <c r="A208" s="10"/>
      <c r="B208" s="25" t="s">
        <v>125</v>
      </c>
      <c r="C208" s="25"/>
      <c r="D208" s="33">
        <f>+D204-D206</f>
        <v>58267.350000000202</v>
      </c>
      <c r="E208" s="13"/>
      <c r="F208" s="35">
        <f>IF(D$12=0,0,D208/D$12)</f>
        <v>9.9695588679349939E-2</v>
      </c>
      <c r="G208" s="13"/>
      <c r="H208" s="33">
        <f>+H204-H206</f>
        <v>-53475.960000000108</v>
      </c>
      <c r="I208" s="13"/>
      <c r="J208" s="35">
        <f>IF(H$12=0,0,H208/H$12)</f>
        <v>-0.14486442680349346</v>
      </c>
      <c r="K208" s="16"/>
      <c r="L208" s="33">
        <f>D208-H208</f>
        <v>111743.31000000032</v>
      </c>
      <c r="M208" s="16"/>
      <c r="N208" s="35">
        <f>IF(H208=0,0,L208/H208)</f>
        <v>-2.0895989525012753</v>
      </c>
      <c r="O208" s="26"/>
      <c r="P208" s="33">
        <f>+P204-P206</f>
        <v>-106606.48000000051</v>
      </c>
      <c r="Q208" s="13"/>
      <c r="R208" s="35">
        <f>IF(P$12=0,0,P208/P$12)</f>
        <v>-4.5995769914857695E-2</v>
      </c>
      <c r="S208" s="13"/>
      <c r="T208" s="33">
        <f>+T204-T206</f>
        <v>-47371.850000000675</v>
      </c>
      <c r="U208" s="13"/>
      <c r="V208" s="35">
        <f>IF(T$12=0,0,T208/T$12)</f>
        <v>-2.1592517180001165E-2</v>
      </c>
      <c r="W208" s="16"/>
      <c r="X208" s="33">
        <f>P208-T208</f>
        <v>-59234.62999999983</v>
      </c>
      <c r="Y208" s="16"/>
      <c r="Z208" s="35">
        <f>IF(T208=0,0,X208/T208)</f>
        <v>1.250418339161316</v>
      </c>
    </row>
    <row r="209" spans="1:26" ht="15.75" thickTop="1" x14ac:dyDescent="0.25">
      <c r="A209" s="9"/>
      <c r="B209" s="9"/>
      <c r="C209" s="9"/>
      <c r="D209" s="3"/>
      <c r="E209" s="3"/>
      <c r="F209" s="8"/>
      <c r="G209" s="3"/>
      <c r="H209" s="3"/>
      <c r="I209" s="3"/>
      <c r="J209" s="8"/>
      <c r="K209" s="3"/>
      <c r="L209" s="3"/>
      <c r="M209" s="3"/>
      <c r="N209" s="8"/>
      <c r="P209" s="3"/>
      <c r="Q209" s="3"/>
      <c r="R209" s="8"/>
      <c r="S209" s="3"/>
      <c r="T209" s="3"/>
      <c r="U209" s="3"/>
      <c r="V209" s="8"/>
      <c r="W209" s="3"/>
      <c r="X209" s="3"/>
      <c r="Y209" s="3"/>
      <c r="Z209" s="8"/>
    </row>
    <row r="210" spans="1:26" x14ac:dyDescent="0.25">
      <c r="A210" s="9"/>
      <c r="B210" s="9"/>
      <c r="C210" s="9"/>
      <c r="D210" s="3"/>
      <c r="E210" s="3"/>
      <c r="F210" s="8"/>
      <c r="G210" s="3"/>
      <c r="H210" s="3"/>
      <c r="I210" s="3"/>
      <c r="J210" s="8"/>
      <c r="K210" s="3"/>
      <c r="L210" s="3"/>
      <c r="M210" s="3"/>
      <c r="N210" s="8"/>
      <c r="P210" s="3"/>
      <c r="Q210" s="3"/>
      <c r="R210" s="8"/>
      <c r="S210" s="3"/>
      <c r="T210" s="3"/>
      <c r="U210" s="3"/>
      <c r="V210" s="8"/>
      <c r="W210" s="3"/>
      <c r="X210" s="3"/>
      <c r="Y210" s="3"/>
      <c r="Z210" s="8"/>
    </row>
    <row r="211" spans="1:26" s="23" customFormat="1" ht="15.75" thickBot="1" x14ac:dyDescent="0.3">
      <c r="A211" s="10"/>
      <c r="B211" s="25" t="s">
        <v>293</v>
      </c>
      <c r="C211" s="25"/>
      <c r="D211" s="31">
        <f>SUM(D208:D210)</f>
        <v>58267.350000000202</v>
      </c>
      <c r="E211" s="13"/>
      <c r="F211" s="32">
        <f>IF(D$12=0,0,D211/D$12)</f>
        <v>9.9695588679349939E-2</v>
      </c>
      <c r="G211" s="13"/>
      <c r="H211" s="31">
        <f>SUM(H208:H210)</f>
        <v>-53475.960000000108</v>
      </c>
      <c r="I211" s="13"/>
      <c r="J211" s="32">
        <f>IF(H$12=0,0,H211/H$12)</f>
        <v>-0.14486442680349346</v>
      </c>
      <c r="K211" s="16"/>
      <c r="L211" s="31">
        <f>+D211-H211</f>
        <v>111743.31000000032</v>
      </c>
      <c r="M211" s="16"/>
      <c r="N211" s="32">
        <f>IF(H211=0,0,L211/H211)</f>
        <v>-2.0895989525012753</v>
      </c>
      <c r="O211" s="26"/>
      <c r="P211" s="31">
        <f>SUM(P208:P210)</f>
        <v>-106606.48000000051</v>
      </c>
      <c r="Q211" s="13"/>
      <c r="R211" s="32">
        <f>IF(P$12=0,0,P211/P$12)</f>
        <v>-4.5995769914857695E-2</v>
      </c>
      <c r="S211" s="13"/>
      <c r="T211" s="31">
        <f>SUM(T208:T210)</f>
        <v>-47371.850000000675</v>
      </c>
      <c r="U211" s="13"/>
      <c r="V211" s="32">
        <f>IF(T$12=0,0,T211/T$12)</f>
        <v>-2.1592517180001165E-2</v>
      </c>
      <c r="W211" s="16"/>
      <c r="X211" s="31">
        <f>+P211-T211</f>
        <v>-59234.62999999983</v>
      </c>
      <c r="Y211" s="16"/>
      <c r="Z211" s="32">
        <f>IF(T211=0,0,X211/T211)</f>
        <v>1.250418339161316</v>
      </c>
    </row>
    <row r="212" spans="1:26" ht="15.75" thickTop="1" x14ac:dyDescent="0.25">
      <c r="A212" s="9"/>
      <c r="C212" s="9"/>
      <c r="D212" s="18"/>
      <c r="E212" s="18"/>
      <c r="G212" s="18"/>
      <c r="H212" s="18"/>
      <c r="I212" s="18"/>
      <c r="J212" s="42"/>
      <c r="K212" s="18"/>
      <c r="L212" s="18"/>
      <c r="M212" s="18"/>
      <c r="P212" s="18"/>
      <c r="Q212" s="18"/>
      <c r="R212" s="42"/>
      <c r="S212" s="18"/>
      <c r="T212" s="18"/>
      <c r="U212" s="18"/>
      <c r="V212" s="42"/>
      <c r="W212" s="18"/>
      <c r="X212" s="18"/>
    </row>
    <row r="213" spans="1:26" x14ac:dyDescent="0.25">
      <c r="A213" s="9"/>
      <c r="B213" s="58">
        <v>44481.9855966088</v>
      </c>
      <c r="D213" s="18"/>
      <c r="E213" s="18"/>
      <c r="G213" s="18"/>
      <c r="H213" s="18"/>
      <c r="I213" s="18"/>
      <c r="J213" s="42"/>
      <c r="K213" s="18"/>
      <c r="L213" s="18"/>
      <c r="M213" s="18"/>
      <c r="P213" s="18"/>
      <c r="Q213" s="18"/>
      <c r="R213" s="42"/>
      <c r="S213" s="18"/>
      <c r="T213" s="18"/>
      <c r="U213" s="18"/>
      <c r="V213" s="42"/>
      <c r="W213" s="18"/>
      <c r="X213" s="18"/>
    </row>
    <row r="214" spans="1:26" x14ac:dyDescent="0.25">
      <c r="A214" s="9"/>
      <c r="B214" s="53" t="s">
        <v>56</v>
      </c>
      <c r="D214" s="18"/>
      <c r="E214" s="18"/>
      <c r="G214" s="18"/>
      <c r="H214" s="18"/>
      <c r="I214" s="18"/>
      <c r="J214" s="42"/>
      <c r="K214" s="18"/>
      <c r="L214" s="18"/>
      <c r="M214" s="18"/>
      <c r="P214" s="18"/>
      <c r="Q214" s="18"/>
      <c r="R214" s="42"/>
      <c r="S214" s="18"/>
      <c r="T214" s="18"/>
      <c r="U214" s="18"/>
      <c r="V214" s="42"/>
      <c r="W214" s="18"/>
      <c r="X214" s="18"/>
    </row>
    <row r="215" spans="1:26" x14ac:dyDescent="0.25">
      <c r="A215" s="9"/>
      <c r="B215" s="52"/>
      <c r="D215" s="18"/>
      <c r="E215" s="18"/>
      <c r="G215" s="18"/>
      <c r="H215" s="18"/>
      <c r="I215" s="18"/>
      <c r="J215" s="42"/>
      <c r="K215" s="18"/>
      <c r="L215" s="18"/>
      <c r="M215" s="18"/>
      <c r="P215" s="18"/>
      <c r="Q215" s="18"/>
      <c r="R215" s="42"/>
      <c r="S215" s="18"/>
      <c r="T215" s="18"/>
      <c r="U215" s="18"/>
      <c r="V215" s="42"/>
      <c r="W215" s="18"/>
      <c r="X215" s="18"/>
    </row>
    <row r="216" spans="1:26" x14ac:dyDescent="0.25">
      <c r="D216" s="18"/>
      <c r="E216" s="18"/>
      <c r="G216" s="18"/>
      <c r="H216" s="18"/>
      <c r="I216" s="18"/>
      <c r="J216" s="42"/>
      <c r="K216" s="18"/>
      <c r="L216" s="18"/>
      <c r="M216" s="18"/>
      <c r="P216" s="18"/>
      <c r="Q216" s="18"/>
      <c r="R216" s="42"/>
      <c r="S216" s="18"/>
      <c r="T216" s="18"/>
      <c r="U216" s="18"/>
      <c r="V216" s="42"/>
      <c r="W216" s="18"/>
      <c r="X216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</sheetPr>
  <dimension ref="A2:Z24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313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759312.65</v>
      </c>
      <c r="E12" s="4"/>
      <c r="F12" s="12"/>
      <c r="G12" s="4"/>
      <c r="H12" s="4">
        <f>SUM(OSRRefH13x_0)</f>
        <v>632791.41000000027</v>
      </c>
      <c r="I12" s="4"/>
      <c r="J12" s="12"/>
      <c r="K12" s="4"/>
      <c r="L12" s="4">
        <f t="shared" ref="L12:L88" si="0">+D12-H12</f>
        <v>126521.23999999976</v>
      </c>
      <c r="M12" s="4"/>
      <c r="N12" s="12">
        <f t="shared" ref="N12:N88" si="1">IF(H12=0,0,L12/H12)</f>
        <v>0.19994146254292502</v>
      </c>
      <c r="O12" s="10"/>
      <c r="P12" s="4">
        <f>SUM(OSRRefP13x_0)</f>
        <v>2931285.19</v>
      </c>
      <c r="Q12" s="4"/>
      <c r="R12" s="12"/>
      <c r="S12" s="4"/>
      <c r="T12" s="4">
        <f>SUM(OSRRefT13x_0)</f>
        <v>3157185.959999999</v>
      </c>
      <c r="U12" s="4"/>
      <c r="V12" s="12"/>
      <c r="W12" s="4"/>
      <c r="X12" s="4">
        <f t="shared" ref="X12:X88" si="2">+P12-T12</f>
        <v>-225900.76999999909</v>
      </c>
      <c r="Y12" s="4"/>
      <c r="Z12" s="12">
        <f t="shared" ref="Z12:Z88" si="3">IF(T12=0,0,X12/T12)</f>
        <v>-7.155130323713943E-2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--599649.46</f>
        <v>599649.46</v>
      </c>
      <c r="E13" s="2"/>
      <c r="F13" s="19"/>
      <c r="G13" s="2"/>
      <c r="H13" s="2">
        <f>-8672.74</f>
        <v>-8672.74</v>
      </c>
      <c r="I13" s="2"/>
      <c r="J13" s="19"/>
      <c r="K13" s="2"/>
      <c r="L13" s="2">
        <f t="shared" si="0"/>
        <v>608322.19999999995</v>
      </c>
      <c r="M13" s="2"/>
      <c r="N13" s="19">
        <f t="shared" si="1"/>
        <v>-70.14186981276967</v>
      </c>
      <c r="O13" s="11"/>
      <c r="P13" s="2">
        <f>--2389281.9</f>
        <v>2389281.9</v>
      </c>
      <c r="Q13" s="2"/>
      <c r="R13" s="19"/>
      <c r="S13" s="2"/>
      <c r="T13" s="2">
        <f>-37800.78</f>
        <v>-37800.78</v>
      </c>
      <c r="U13" s="2"/>
      <c r="V13" s="19"/>
      <c r="W13" s="2"/>
      <c r="X13" s="2">
        <f t="shared" si="2"/>
        <v>2427082.6799999997</v>
      </c>
      <c r="Y13" s="2"/>
      <c r="Z13" s="19">
        <f t="shared" si="3"/>
        <v>-64.207211597221004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6" si="4">0</f>
        <v>0</v>
      </c>
      <c r="E14" s="2"/>
      <c r="F14" s="19"/>
      <c r="G14" s="2"/>
      <c r="H14" s="2">
        <f>--110499.32</f>
        <v>110499.32</v>
      </c>
      <c r="I14" s="2"/>
      <c r="J14" s="19"/>
      <c r="K14" s="2"/>
      <c r="L14" s="2">
        <f t="shared" si="0"/>
        <v>-110499.32</v>
      </c>
      <c r="M14" s="2"/>
      <c r="N14" s="19">
        <f t="shared" si="1"/>
        <v>-1</v>
      </c>
      <c r="O14" s="11"/>
      <c r="P14" s="2">
        <f t="shared" ref="P14:P36" si="5">0</f>
        <v>0</v>
      </c>
      <c r="Q14" s="2"/>
      <c r="R14" s="19"/>
      <c r="S14" s="2"/>
      <c r="T14" s="2">
        <f>--694696.64</f>
        <v>694696.64</v>
      </c>
      <c r="U14" s="2"/>
      <c r="V14" s="19"/>
      <c r="W14" s="2"/>
      <c r="X14" s="2">
        <f t="shared" si="2"/>
        <v>-694696.64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--38043.74</f>
        <v>38043.74</v>
      </c>
      <c r="I15" s="2"/>
      <c r="J15" s="19"/>
      <c r="K15" s="2"/>
      <c r="L15" s="2">
        <f t="shared" si="0"/>
        <v>-38043.74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--316655.9</f>
        <v>316655.90000000002</v>
      </c>
      <c r="U15" s="2"/>
      <c r="V15" s="19"/>
      <c r="W15" s="2"/>
      <c r="X15" s="2">
        <f t="shared" si="2"/>
        <v>-316655.90000000002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--1539.79</f>
        <v>1539.79</v>
      </c>
      <c r="I16" s="2"/>
      <c r="J16" s="19"/>
      <c r="K16" s="2"/>
      <c r="L16" s="2">
        <f t="shared" si="0"/>
        <v>-1539.79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--10595.63</f>
        <v>10595.63</v>
      </c>
      <c r="U16" s="2"/>
      <c r="V16" s="19"/>
      <c r="W16" s="2"/>
      <c r="X16" s="2">
        <f t="shared" si="2"/>
        <v>-10595.63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--284.22</f>
        <v>284.22000000000003</v>
      </c>
      <c r="I17" s="2"/>
      <c r="J17" s="19"/>
      <c r="K17" s="2"/>
      <c r="L17" s="2">
        <f t="shared" si="0"/>
        <v>-284.22000000000003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--2105.11</f>
        <v>2105.11</v>
      </c>
      <c r="U17" s="2"/>
      <c r="V17" s="19"/>
      <c r="W17" s="2"/>
      <c r="X17" s="2">
        <f t="shared" si="2"/>
        <v>-2105.11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--39.9</f>
        <v>39.9</v>
      </c>
      <c r="U18" s="2"/>
      <c r="V18" s="19"/>
      <c r="W18" s="2"/>
      <c r="X18" s="2">
        <f t="shared" si="2"/>
        <v>-39.9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--97.51</f>
        <v>97.51</v>
      </c>
      <c r="I19" s="2"/>
      <c r="J19" s="19"/>
      <c r="K19" s="2"/>
      <c r="L19" s="2">
        <f t="shared" si="0"/>
        <v>-97.51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--304.44</f>
        <v>304.44</v>
      </c>
      <c r="U19" s="2"/>
      <c r="V19" s="19"/>
      <c r="W19" s="2"/>
      <c r="X19" s="2">
        <f t="shared" si="2"/>
        <v>-304.44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--48.87</f>
        <v>48.87</v>
      </c>
      <c r="I20" s="2"/>
      <c r="J20" s="19"/>
      <c r="K20" s="2"/>
      <c r="L20" s="2">
        <f t="shared" si="0"/>
        <v>-48.87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--21.47</f>
        <v>21.47</v>
      </c>
      <c r="I21" s="2"/>
      <c r="J21" s="19"/>
      <c r="K21" s="2"/>
      <c r="L21" s="2">
        <f t="shared" si="0"/>
        <v>-21.47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--258.03</f>
        <v>258.02999999999997</v>
      </c>
      <c r="U21" s="2"/>
      <c r="V21" s="19"/>
      <c r="W21" s="2"/>
      <c r="X21" s="2">
        <f t="shared" si="2"/>
        <v>-258.02999999999997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--10773.55</f>
        <v>10773.55</v>
      </c>
      <c r="I22" s="2"/>
      <c r="J22" s="19"/>
      <c r="K22" s="2"/>
      <c r="L22" s="2">
        <f t="shared" si="0"/>
        <v>-10773.55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--32674.61</f>
        <v>32674.61</v>
      </c>
      <c r="U22" s="2"/>
      <c r="V22" s="19"/>
      <c r="W22" s="2"/>
      <c r="X22" s="2">
        <f t="shared" si="2"/>
        <v>-32674.61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--2807.8</f>
        <v>2807.8</v>
      </c>
      <c r="I23" s="2"/>
      <c r="J23" s="19"/>
      <c r="K23" s="2"/>
      <c r="L23" s="2">
        <f t="shared" si="0"/>
        <v>-2807.8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--12498.9</f>
        <v>12498.9</v>
      </c>
      <c r="U23" s="2"/>
      <c r="V23" s="19"/>
      <c r="W23" s="2"/>
      <c r="X23" s="2">
        <f t="shared" si="2"/>
        <v>-12498.9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--685.9</f>
        <v>685.9</v>
      </c>
      <c r="I24" s="2"/>
      <c r="J24" s="19"/>
      <c r="K24" s="2"/>
      <c r="L24" s="2">
        <f t="shared" si="0"/>
        <v>-685.9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--1238.16</f>
        <v>1238.1600000000001</v>
      </c>
      <c r="U24" s="2"/>
      <c r="V24" s="19"/>
      <c r="W24" s="2"/>
      <c r="X24" s="2">
        <f t="shared" si="2"/>
        <v>-1238.1600000000001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 t="shared" si="4"/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--6.78</f>
        <v>6.78</v>
      </c>
      <c r="U25" s="2"/>
      <c r="V25" s="19"/>
      <c r="W25" s="2"/>
      <c r="X25" s="2">
        <f t="shared" si="2"/>
        <v>-6.78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 t="shared" si="4"/>
        <v>0</v>
      </c>
      <c r="E26" s="2"/>
      <c r="F26" s="19"/>
      <c r="G26" s="2"/>
      <c r="H26" s="2">
        <f>--78841.84</f>
        <v>78841.84</v>
      </c>
      <c r="I26" s="2"/>
      <c r="J26" s="19"/>
      <c r="K26" s="2"/>
      <c r="L26" s="2">
        <f t="shared" si="0"/>
        <v>-78841.84</v>
      </c>
      <c r="M26" s="2"/>
      <c r="N26" s="19">
        <f t="shared" si="1"/>
        <v>-1</v>
      </c>
      <c r="O26" s="11"/>
      <c r="P26" s="2">
        <f t="shared" si="5"/>
        <v>0</v>
      </c>
      <c r="Q26" s="2"/>
      <c r="R26" s="19"/>
      <c r="S26" s="2"/>
      <c r="T26" s="2">
        <f>--328420.19</f>
        <v>328420.19</v>
      </c>
      <c r="U26" s="2"/>
      <c r="V26" s="19"/>
      <c r="W26" s="2"/>
      <c r="X26" s="2">
        <f t="shared" si="2"/>
        <v>-328420.19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 t="shared" si="4"/>
        <v>0</v>
      </c>
      <c r="E27" s="2"/>
      <c r="F27" s="19"/>
      <c r="G27" s="2"/>
      <c r="H27" s="2">
        <f>--27724.06</f>
        <v>27724.06</v>
      </c>
      <c r="I27" s="2"/>
      <c r="J27" s="19"/>
      <c r="K27" s="2"/>
      <c r="L27" s="2">
        <f t="shared" si="0"/>
        <v>-27724.06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--131033.62</f>
        <v>131033.62</v>
      </c>
      <c r="U27" s="2"/>
      <c r="V27" s="19"/>
      <c r="W27" s="2"/>
      <c r="X27" s="2">
        <f t="shared" si="2"/>
        <v>-131033.62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 t="shared" si="4"/>
        <v>0</v>
      </c>
      <c r="E28" s="2"/>
      <c r="F28" s="19"/>
      <c r="G28" s="2"/>
      <c r="H28" s="2">
        <f>--8004.46</f>
        <v>8004.46</v>
      </c>
      <c r="I28" s="2"/>
      <c r="J28" s="19"/>
      <c r="K28" s="2"/>
      <c r="L28" s="2">
        <f t="shared" si="0"/>
        <v>-8004.46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--47929.5</f>
        <v>47929.5</v>
      </c>
      <c r="U28" s="2"/>
      <c r="V28" s="19"/>
      <c r="W28" s="2"/>
      <c r="X28" s="2">
        <f t="shared" si="2"/>
        <v>-47929.5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 t="shared" si="4"/>
        <v>0</v>
      </c>
      <c r="E29" s="2"/>
      <c r="F29" s="19"/>
      <c r="G29" s="2"/>
      <c r="H29" s="2">
        <f>--2805.53</f>
        <v>2805.53</v>
      </c>
      <c r="I29" s="2"/>
      <c r="J29" s="19"/>
      <c r="K29" s="2"/>
      <c r="L29" s="2">
        <f t="shared" si="0"/>
        <v>-2805.53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--9791.16</f>
        <v>9791.16</v>
      </c>
      <c r="U29" s="2"/>
      <c r="V29" s="19"/>
      <c r="W29" s="2"/>
      <c r="X29" s="2">
        <f t="shared" si="2"/>
        <v>-9791.16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 t="shared" si="4"/>
        <v>0</v>
      </c>
      <c r="E30" s="2"/>
      <c r="F30" s="19"/>
      <c r="G30" s="2"/>
      <c r="H30" s="2">
        <f>--2962.32</f>
        <v>2962.32</v>
      </c>
      <c r="I30" s="2"/>
      <c r="J30" s="19"/>
      <c r="K30" s="2"/>
      <c r="L30" s="2">
        <f t="shared" si="0"/>
        <v>-2962.32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--11331.52</f>
        <v>11331.52</v>
      </c>
      <c r="U30" s="2"/>
      <c r="V30" s="19"/>
      <c r="W30" s="2"/>
      <c r="X30" s="2">
        <f t="shared" si="2"/>
        <v>-11331.52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 t="shared" si="4"/>
        <v>0</v>
      </c>
      <c r="E31" s="2"/>
      <c r="F31" s="19"/>
      <c r="G31" s="2"/>
      <c r="H31" s="2">
        <f>--2575.36</f>
        <v>2575.36</v>
      </c>
      <c r="I31" s="2"/>
      <c r="J31" s="19"/>
      <c r="K31" s="2"/>
      <c r="L31" s="2">
        <f t="shared" si="0"/>
        <v>-2575.36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--92006.44</f>
        <v>92006.44</v>
      </c>
      <c r="U31" s="2"/>
      <c r="V31" s="19"/>
      <c r="W31" s="2"/>
      <c r="X31" s="2">
        <f t="shared" si="2"/>
        <v>-92006.44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si="4"/>
        <v>0</v>
      </c>
      <c r="E32" s="2"/>
      <c r="F32" s="19"/>
      <c r="G32" s="2"/>
      <c r="H32" s="2">
        <f>--12239.6</f>
        <v>12239.6</v>
      </c>
      <c r="I32" s="2"/>
      <c r="J32" s="19"/>
      <c r="K32" s="2"/>
      <c r="L32" s="2">
        <f t="shared" si="0"/>
        <v>-12239.6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--50102.62</f>
        <v>50102.62</v>
      </c>
      <c r="U32" s="2"/>
      <c r="V32" s="19"/>
      <c r="W32" s="2"/>
      <c r="X32" s="2">
        <f t="shared" si="2"/>
        <v>-50102.62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 t="shared" si="4"/>
        <v>0</v>
      </c>
      <c r="E33" s="2"/>
      <c r="F33" s="19"/>
      <c r="G33" s="2"/>
      <c r="H33" s="2">
        <f>--198101.2</f>
        <v>198101.2</v>
      </c>
      <c r="I33" s="2"/>
      <c r="J33" s="19"/>
      <c r="K33" s="2"/>
      <c r="L33" s="2">
        <f t="shared" si="0"/>
        <v>-198101.2</v>
      </c>
      <c r="M33" s="2"/>
      <c r="N33" s="19">
        <f t="shared" si="1"/>
        <v>-1</v>
      </c>
      <c r="O33" s="11"/>
      <c r="P33" s="2">
        <f t="shared" si="5"/>
        <v>0</v>
      </c>
      <c r="Q33" s="2"/>
      <c r="R33" s="19"/>
      <c r="S33" s="2"/>
      <c r="T33" s="2">
        <f>--739313.21</f>
        <v>739313.21</v>
      </c>
      <c r="U33" s="2"/>
      <c r="V33" s="19"/>
      <c r="W33" s="2"/>
      <c r="X33" s="2">
        <f t="shared" si="2"/>
        <v>-739313.21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 t="shared" si="4"/>
        <v>0</v>
      </c>
      <c r="E34" s="2"/>
      <c r="F34" s="19"/>
      <c r="G34" s="2"/>
      <c r="H34" s="2">
        <f>--18947.33</f>
        <v>18947.330000000002</v>
      </c>
      <c r="I34" s="2"/>
      <c r="J34" s="19"/>
      <c r="K34" s="2"/>
      <c r="L34" s="2">
        <f t="shared" si="0"/>
        <v>-18947.330000000002</v>
      </c>
      <c r="M34" s="2"/>
      <c r="N34" s="19">
        <f t="shared" si="1"/>
        <v>-1</v>
      </c>
      <c r="O34" s="11"/>
      <c r="P34" s="2">
        <f t="shared" si="5"/>
        <v>0</v>
      </c>
      <c r="Q34" s="2"/>
      <c r="R34" s="19"/>
      <c r="S34" s="2"/>
      <c r="T34" s="2">
        <f>--68662.69</f>
        <v>68662.69</v>
      </c>
      <c r="U34" s="2"/>
      <c r="V34" s="19"/>
      <c r="W34" s="2"/>
      <c r="X34" s="2">
        <f t="shared" si="2"/>
        <v>-68662.69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"4085", " - ", "TAXABLE SALES-SOFTWARE")</f>
        <v xml:space="preserve">          4085 - TAXABLE SALES-SOFTWARE</v>
      </c>
      <c r="C35" s="11"/>
      <c r="D35" s="2">
        <f t="shared" si="4"/>
        <v>0</v>
      </c>
      <c r="E35" s="2"/>
      <c r="F35" s="19"/>
      <c r="G35" s="2"/>
      <c r="H35" s="2">
        <f>--852.96</f>
        <v>852.96</v>
      </c>
      <c r="I35" s="2"/>
      <c r="J35" s="19"/>
      <c r="K35" s="2"/>
      <c r="L35" s="2">
        <f t="shared" si="0"/>
        <v>-852.96</v>
      </c>
      <c r="M35" s="2"/>
      <c r="N35" s="19">
        <f t="shared" si="1"/>
        <v>-1</v>
      </c>
      <c r="O35" s="11"/>
      <c r="P35" s="2">
        <f t="shared" si="5"/>
        <v>0</v>
      </c>
      <c r="Q35" s="2"/>
      <c r="R35" s="19"/>
      <c r="S35" s="2"/>
      <c r="T35" s="2">
        <f>--981.96</f>
        <v>981.96</v>
      </c>
      <c r="U35" s="2"/>
      <c r="V35" s="19"/>
      <c r="W35" s="2"/>
      <c r="X35" s="2">
        <f t="shared" si="2"/>
        <v>-981.96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 t="shared" si="4"/>
        <v>0</v>
      </c>
      <c r="E36" s="2"/>
      <c r="F36" s="19"/>
      <c r="G36" s="2"/>
      <c r="H36" s="2">
        <f>--713.93</f>
        <v>713.93</v>
      </c>
      <c r="I36" s="2"/>
      <c r="J36" s="19"/>
      <c r="K36" s="2"/>
      <c r="L36" s="2">
        <f t="shared" si="0"/>
        <v>-713.93</v>
      </c>
      <c r="M36" s="2"/>
      <c r="N36" s="19">
        <f t="shared" si="1"/>
        <v>-1</v>
      </c>
      <c r="O36" s="11"/>
      <c r="P36" s="2">
        <f t="shared" si="5"/>
        <v>0</v>
      </c>
      <c r="Q36" s="2"/>
      <c r="R36" s="19"/>
      <c r="S36" s="2"/>
      <c r="T36" s="2">
        <f>--27981.41</f>
        <v>27981.41</v>
      </c>
      <c r="U36" s="2"/>
      <c r="V36" s="19"/>
      <c r="W36" s="2"/>
      <c r="X36" s="2">
        <f t="shared" si="2"/>
        <v>-27981.41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"4100", " - ", "NON-TAXABLE SALES")</f>
        <v xml:space="preserve">          4100 - NON-TAXABLE SALES</v>
      </c>
      <c r="C37" s="11"/>
      <c r="D37" s="2">
        <f>--200794.66</f>
        <v>200794.66</v>
      </c>
      <c r="E37" s="2"/>
      <c r="F37" s="19"/>
      <c r="G37" s="2"/>
      <c r="H37" s="2">
        <f>--10945.69</f>
        <v>10945.69</v>
      </c>
      <c r="I37" s="2"/>
      <c r="J37" s="19"/>
      <c r="K37" s="2"/>
      <c r="L37" s="2">
        <f t="shared" si="0"/>
        <v>189848.97</v>
      </c>
      <c r="M37" s="2"/>
      <c r="N37" s="19">
        <f t="shared" si="1"/>
        <v>17.344632453504531</v>
      </c>
      <c r="O37" s="11"/>
      <c r="P37" s="2">
        <f>--683472.9</f>
        <v>683472.9</v>
      </c>
      <c r="Q37" s="2"/>
      <c r="R37" s="19"/>
      <c r="S37" s="2"/>
      <c r="T37" s="2">
        <f>--164344.02</f>
        <v>164344.01999999999</v>
      </c>
      <c r="U37" s="2"/>
      <c r="V37" s="19"/>
      <c r="W37" s="2"/>
      <c r="X37" s="2">
        <f t="shared" si="2"/>
        <v>519128.88</v>
      </c>
      <c r="Y37" s="2"/>
      <c r="Z37" s="19">
        <f t="shared" si="3"/>
        <v>3.1587938520671459</v>
      </c>
    </row>
    <row r="38" spans="1:26" s="24" customFormat="1" hidden="1" outlineLevel="1" x14ac:dyDescent="0.25">
      <c r="A38" s="44"/>
      <c r="B38" s="11" t="str">
        <f>CONCATENATE("          ", "4101", " - ", "NON-TAXABLE SALES-NEW TEXT")</f>
        <v xml:space="preserve">          4101 - NON-TAXABLE SALES-NEW TEXT</v>
      </c>
      <c r="C38" s="11"/>
      <c r="D38" s="2">
        <f t="shared" ref="D38:D50" si="6">0</f>
        <v>0</v>
      </c>
      <c r="E38" s="2"/>
      <c r="F38" s="19"/>
      <c r="G38" s="2"/>
      <c r="H38" s="2">
        <f>--18824.16</f>
        <v>18824.16</v>
      </c>
      <c r="I38" s="2"/>
      <c r="J38" s="19"/>
      <c r="K38" s="2"/>
      <c r="L38" s="2">
        <f t="shared" si="0"/>
        <v>-18824.16</v>
      </c>
      <c r="M38" s="2"/>
      <c r="N38" s="19">
        <f t="shared" si="1"/>
        <v>-1</v>
      </c>
      <c r="O38" s="11"/>
      <c r="P38" s="2">
        <f t="shared" ref="P38:P50" si="7">0</f>
        <v>0</v>
      </c>
      <c r="Q38" s="2"/>
      <c r="R38" s="19"/>
      <c r="S38" s="2"/>
      <c r="T38" s="2">
        <f>--70404.84</f>
        <v>70404.84</v>
      </c>
      <c r="U38" s="2"/>
      <c r="V38" s="19"/>
      <c r="W38" s="2"/>
      <c r="X38" s="2">
        <f t="shared" si="2"/>
        <v>-70404.84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"4102", " - ", "NON-TAXABLE SALES-USED TEXT")</f>
        <v xml:space="preserve">          4102 - NON-TAXABLE SALES-USED TEXT</v>
      </c>
      <c r="C39" s="11"/>
      <c r="D39" s="2">
        <f t="shared" si="6"/>
        <v>0</v>
      </c>
      <c r="E39" s="2"/>
      <c r="F39" s="19"/>
      <c r="G39" s="2"/>
      <c r="H39" s="2">
        <f>--8807.08</f>
        <v>8807.08</v>
      </c>
      <c r="I39" s="2"/>
      <c r="J39" s="19"/>
      <c r="K39" s="2"/>
      <c r="L39" s="2">
        <f t="shared" si="0"/>
        <v>-8807.08</v>
      </c>
      <c r="M39" s="2"/>
      <c r="N39" s="19">
        <f t="shared" si="1"/>
        <v>-1</v>
      </c>
      <c r="O39" s="11"/>
      <c r="P39" s="2">
        <f t="shared" si="7"/>
        <v>0</v>
      </c>
      <c r="Q39" s="2"/>
      <c r="R39" s="19"/>
      <c r="S39" s="2"/>
      <c r="T39" s="2">
        <f>--30370.82</f>
        <v>30370.82</v>
      </c>
      <c r="U39" s="2"/>
      <c r="V39" s="19"/>
      <c r="W39" s="2"/>
      <c r="X39" s="2">
        <f t="shared" si="2"/>
        <v>-30370.82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"4103", " - ", "NON-TAXABLE SALES-RENTAL TEXT")</f>
        <v xml:space="preserve">          4103 - NON-TAXABLE SALES-RENTAL TEXT</v>
      </c>
      <c r="C40" s="11"/>
      <c r="D40" s="2">
        <f t="shared" si="6"/>
        <v>0</v>
      </c>
      <c r="E40" s="2"/>
      <c r="F40" s="19"/>
      <c r="G40" s="2"/>
      <c r="H40" s="2">
        <f>--284.97</f>
        <v>284.97000000000003</v>
      </c>
      <c r="I40" s="2"/>
      <c r="J40" s="19"/>
      <c r="K40" s="2"/>
      <c r="L40" s="2">
        <f t="shared" si="0"/>
        <v>-284.97000000000003</v>
      </c>
      <c r="M40" s="2"/>
      <c r="N40" s="19">
        <f t="shared" si="1"/>
        <v>-1</v>
      </c>
      <c r="O40" s="11"/>
      <c r="P40" s="2">
        <f t="shared" si="7"/>
        <v>0</v>
      </c>
      <c r="Q40" s="2"/>
      <c r="R40" s="19"/>
      <c r="S40" s="2"/>
      <c r="T40" s="2">
        <f>--284.97</f>
        <v>284.97000000000003</v>
      </c>
      <c r="U40" s="2"/>
      <c r="V40" s="19"/>
      <c r="W40" s="2"/>
      <c r="X40" s="2">
        <f t="shared" si="2"/>
        <v>-284.97000000000003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"4104", " - ", "NON-TAXABLE SALES-DIGITAL TEXT")</f>
        <v xml:space="preserve">          4104 - NON-TAXABLE SALES-DIGITAL TEXT</v>
      </c>
      <c r="C41" s="11"/>
      <c r="D41" s="2">
        <f t="shared" si="6"/>
        <v>0</v>
      </c>
      <c r="E41" s="2"/>
      <c r="F41" s="19"/>
      <c r="G41" s="2"/>
      <c r="H41" s="2">
        <f>--73817.67</f>
        <v>73817.67</v>
      </c>
      <c r="I41" s="2"/>
      <c r="J41" s="19"/>
      <c r="K41" s="2"/>
      <c r="L41" s="2">
        <f t="shared" si="0"/>
        <v>-73817.67</v>
      </c>
      <c r="M41" s="2"/>
      <c r="N41" s="19">
        <f t="shared" si="1"/>
        <v>-1</v>
      </c>
      <c r="O41" s="11"/>
      <c r="P41" s="2">
        <f t="shared" si="7"/>
        <v>0</v>
      </c>
      <c r="Q41" s="2"/>
      <c r="R41" s="19"/>
      <c r="S41" s="2"/>
      <c r="T41" s="2">
        <f>--286707.85</f>
        <v>286707.84999999998</v>
      </c>
      <c r="U41" s="2"/>
      <c r="V41" s="19"/>
      <c r="W41" s="2"/>
      <c r="X41" s="2">
        <f t="shared" si="2"/>
        <v>-286707.84999999998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"4118", " - ", "NON-TAXABLE SALES-STUDY GUIDES")</f>
        <v xml:space="preserve">          4118 - NON-TAXABLE SALES-STUDY GUIDES</v>
      </c>
      <c r="C42" s="11"/>
      <c r="D42" s="2">
        <f t="shared" si="6"/>
        <v>0</v>
      </c>
      <c r="E42" s="2"/>
      <c r="F42" s="19"/>
      <c r="G42" s="2"/>
      <c r="H42" s="2">
        <f>--6.5</f>
        <v>6.5</v>
      </c>
      <c r="I42" s="2"/>
      <c r="J42" s="19"/>
      <c r="K42" s="2"/>
      <c r="L42" s="2">
        <f t="shared" si="0"/>
        <v>-6.5</v>
      </c>
      <c r="M42" s="2"/>
      <c r="N42" s="19">
        <f t="shared" si="1"/>
        <v>-1</v>
      </c>
      <c r="O42" s="11"/>
      <c r="P42" s="2">
        <f t="shared" si="7"/>
        <v>0</v>
      </c>
      <c r="Q42" s="2"/>
      <c r="R42" s="19"/>
      <c r="S42" s="2"/>
      <c r="T42" s="2">
        <f>--108.33</f>
        <v>108.33</v>
      </c>
      <c r="U42" s="2"/>
      <c r="V42" s="19"/>
      <c r="W42" s="2"/>
      <c r="X42" s="2">
        <f t="shared" si="2"/>
        <v>-108.33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"4126", " - ", "NON-TAXABLE SALES-WRITING INST")</f>
        <v xml:space="preserve">          4126 - NON-TAXABLE SALES-WRITING INST</v>
      </c>
      <c r="C43" s="11"/>
      <c r="D43" s="2">
        <f t="shared" si="6"/>
        <v>0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 t="shared" si="7"/>
        <v>0</v>
      </c>
      <c r="Q43" s="2"/>
      <c r="R43" s="19"/>
      <c r="S43" s="2"/>
      <c r="T43" s="2">
        <f>--52.68</f>
        <v>52.68</v>
      </c>
      <c r="U43" s="2"/>
      <c r="V43" s="19"/>
      <c r="W43" s="2"/>
      <c r="X43" s="2">
        <f t="shared" si="2"/>
        <v>-52.68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"4127", " - ", "NON-TAXABLE SALES-SCHOOL SUPPL")</f>
        <v xml:space="preserve">          4127 - NON-TAXABLE SALES-SCHOOL SUPPL</v>
      </c>
      <c r="C44" s="11"/>
      <c r="D44" s="2">
        <f t="shared" si="6"/>
        <v>0</v>
      </c>
      <c r="E44" s="2"/>
      <c r="F44" s="19"/>
      <c r="G44" s="2"/>
      <c r="H44" s="2">
        <f>--810.33</f>
        <v>810.33</v>
      </c>
      <c r="I44" s="2"/>
      <c r="J44" s="19"/>
      <c r="K44" s="2"/>
      <c r="L44" s="2">
        <f t="shared" si="0"/>
        <v>-810.33</v>
      </c>
      <c r="M44" s="2"/>
      <c r="N44" s="19">
        <f t="shared" si="1"/>
        <v>-1</v>
      </c>
      <c r="O44" s="11"/>
      <c r="P44" s="2">
        <f t="shared" si="7"/>
        <v>0</v>
      </c>
      <c r="Q44" s="2"/>
      <c r="R44" s="19"/>
      <c r="S44" s="2"/>
      <c r="T44" s="2">
        <f>--2670.74</f>
        <v>2670.74</v>
      </c>
      <c r="U44" s="2"/>
      <c r="V44" s="19"/>
      <c r="W44" s="2"/>
      <c r="X44" s="2">
        <f t="shared" si="2"/>
        <v>-2670.74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"4131", " - ", "NON-TAXABLE SALES-FOOD")</f>
        <v xml:space="preserve">          4131 - NON-TAXABLE SALES-FOOD</v>
      </c>
      <c r="C45" s="11"/>
      <c r="D45" s="2">
        <f t="shared" si="6"/>
        <v>0</v>
      </c>
      <c r="E45" s="2"/>
      <c r="F45" s="19"/>
      <c r="G45" s="2"/>
      <c r="H45" s="2">
        <f>--2168.74</f>
        <v>2168.7399999999998</v>
      </c>
      <c r="I45" s="2"/>
      <c r="J45" s="19"/>
      <c r="K45" s="2"/>
      <c r="L45" s="2">
        <f t="shared" si="0"/>
        <v>-2168.7399999999998</v>
      </c>
      <c r="M45" s="2"/>
      <c r="N45" s="19">
        <f t="shared" si="1"/>
        <v>-1</v>
      </c>
      <c r="O45" s="11"/>
      <c r="P45" s="2">
        <f t="shared" si="7"/>
        <v>0</v>
      </c>
      <c r="Q45" s="2"/>
      <c r="R45" s="19"/>
      <c r="S45" s="2"/>
      <c r="T45" s="2">
        <f>--4003.96</f>
        <v>4003.96</v>
      </c>
      <c r="U45" s="2"/>
      <c r="V45" s="19"/>
      <c r="W45" s="2"/>
      <c r="X45" s="2">
        <f t="shared" si="2"/>
        <v>-4003.96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"4132", " - ", "NON-TAXABLE SALES-JUICE")</f>
        <v xml:space="preserve">          4132 - NON-TAXABLE SALES-JUICE</v>
      </c>
      <c r="C46" s="11"/>
      <c r="D46" s="2">
        <f t="shared" si="6"/>
        <v>0</v>
      </c>
      <c r="E46" s="2"/>
      <c r="F46" s="19"/>
      <c r="G46" s="2"/>
      <c r="H46" s="2">
        <f t="shared" ref="H46:H49" si="8">0</f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si="7"/>
        <v>0</v>
      </c>
      <c r="Q46" s="2"/>
      <c r="R46" s="19"/>
      <c r="S46" s="2"/>
      <c r="T46" s="2">
        <f>--22.49</f>
        <v>22.49</v>
      </c>
      <c r="U46" s="2"/>
      <c r="V46" s="19"/>
      <c r="W46" s="2"/>
      <c r="X46" s="2">
        <f t="shared" si="2"/>
        <v>-22.49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"4133", " - ", "NON-TAXABLE SALES-CANDY")</f>
        <v xml:space="preserve">          4133 - NON-TAXABLE SALES-CANDY</v>
      </c>
      <c r="C47" s="11"/>
      <c r="D47" s="2">
        <f t="shared" si="6"/>
        <v>0</v>
      </c>
      <c r="E47" s="2"/>
      <c r="F47" s="19"/>
      <c r="G47" s="2"/>
      <c r="H47" s="2">
        <f t="shared" si="8"/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7"/>
        <v>0</v>
      </c>
      <c r="Q47" s="2"/>
      <c r="R47" s="19"/>
      <c r="S47" s="2"/>
      <c r="T47" s="2">
        <f>--80.71</f>
        <v>80.709999999999994</v>
      </c>
      <c r="U47" s="2"/>
      <c r="V47" s="19"/>
      <c r="W47" s="2"/>
      <c r="X47" s="2">
        <f t="shared" si="2"/>
        <v>-80.709999999999994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"4134", " - ", "NON-TAXABLE SALES-SODA")</f>
        <v xml:space="preserve">          4134 - NON-TAXABLE SALES-SODA</v>
      </c>
      <c r="C48" s="11"/>
      <c r="D48" s="2">
        <f t="shared" si="6"/>
        <v>0</v>
      </c>
      <c r="E48" s="2"/>
      <c r="F48" s="19"/>
      <c r="G48" s="2"/>
      <c r="H48" s="2">
        <f t="shared" si="8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7"/>
        <v>0</v>
      </c>
      <c r="Q48" s="2"/>
      <c r="R48" s="19"/>
      <c r="S48" s="2"/>
      <c r="T48" s="2">
        <f>--45.53</f>
        <v>45.53</v>
      </c>
      <c r="U48" s="2"/>
      <c r="V48" s="19"/>
      <c r="W48" s="2"/>
      <c r="X48" s="2">
        <f t="shared" si="2"/>
        <v>-45.53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"4137", " - ", "NON-TAXABLE SALES-WATER")</f>
        <v xml:space="preserve">          4137 - NON-TAXABLE SALES-WATER</v>
      </c>
      <c r="C49" s="11"/>
      <c r="D49" s="2">
        <f t="shared" si="6"/>
        <v>0</v>
      </c>
      <c r="E49" s="2"/>
      <c r="F49" s="19"/>
      <c r="G49" s="2"/>
      <c r="H49" s="2">
        <f t="shared" si="8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 t="shared" si="7"/>
        <v>0</v>
      </c>
      <c r="Q49" s="2"/>
      <c r="R49" s="19"/>
      <c r="S49" s="2"/>
      <c r="T49" s="2">
        <f>--68.25</f>
        <v>68.25</v>
      </c>
      <c r="U49" s="2"/>
      <c r="V49" s="19"/>
      <c r="W49" s="2"/>
      <c r="X49" s="2">
        <f t="shared" si="2"/>
        <v>-68.25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"4140", " - ", "NON-TAXABLE SALES-LOGO CLOTHIN")</f>
        <v xml:space="preserve">          4140 - NON-TAXABLE SALES-LOGO CLOTHIN</v>
      </c>
      <c r="C50" s="11"/>
      <c r="D50" s="2">
        <f t="shared" si="6"/>
        <v>0</v>
      </c>
      <c r="E50" s="2"/>
      <c r="F50" s="19"/>
      <c r="G50" s="2"/>
      <c r="H50" s="2">
        <f>--3339.7</f>
        <v>3339.7</v>
      </c>
      <c r="I50" s="2"/>
      <c r="J50" s="19"/>
      <c r="K50" s="2"/>
      <c r="L50" s="2">
        <f t="shared" si="0"/>
        <v>-3339.7</v>
      </c>
      <c r="M50" s="2"/>
      <c r="N50" s="19">
        <f t="shared" si="1"/>
        <v>-1</v>
      </c>
      <c r="O50" s="11"/>
      <c r="P50" s="2">
        <f t="shared" si="7"/>
        <v>0</v>
      </c>
      <c r="Q50" s="2"/>
      <c r="R50" s="19"/>
      <c r="S50" s="2"/>
      <c r="T50" s="2">
        <f>--17452.44</f>
        <v>17452.439999999999</v>
      </c>
      <c r="U50" s="2"/>
      <c r="V50" s="19"/>
      <c r="W50" s="2"/>
      <c r="X50" s="2">
        <f t="shared" si="2"/>
        <v>-17452.439999999999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"4141", " - ", "NON-TAXABLE SALES-LOGO GIFTS")</f>
        <v xml:space="preserve">          4141 - NON-TAXABLE SALES-LOGO GIFTS</v>
      </c>
      <c r="C51" s="11"/>
      <c r="D51" s="2">
        <f>--71.05</f>
        <v>71.05</v>
      </c>
      <c r="E51" s="2"/>
      <c r="F51" s="19"/>
      <c r="G51" s="2"/>
      <c r="H51" s="2">
        <f>--555.74</f>
        <v>555.74</v>
      </c>
      <c r="I51" s="2"/>
      <c r="J51" s="19"/>
      <c r="K51" s="2"/>
      <c r="L51" s="2">
        <f t="shared" si="0"/>
        <v>-484.69</v>
      </c>
      <c r="M51" s="2"/>
      <c r="N51" s="19">
        <f t="shared" si="1"/>
        <v>-0.87215244538813108</v>
      </c>
      <c r="O51" s="11"/>
      <c r="P51" s="2">
        <f>--460.55</f>
        <v>460.55</v>
      </c>
      <c r="Q51" s="2"/>
      <c r="R51" s="19"/>
      <c r="S51" s="2"/>
      <c r="T51" s="2">
        <f>--2944.99</f>
        <v>2944.99</v>
      </c>
      <c r="U51" s="2"/>
      <c r="V51" s="19"/>
      <c r="W51" s="2"/>
      <c r="X51" s="2">
        <f t="shared" si="2"/>
        <v>-2484.4399999999996</v>
      </c>
      <c r="Y51" s="2"/>
      <c r="Z51" s="19">
        <f t="shared" si="3"/>
        <v>-0.84361576779547631</v>
      </c>
    </row>
    <row r="52" spans="1:26" s="24" customFormat="1" hidden="1" outlineLevel="1" x14ac:dyDescent="0.25">
      <c r="A52" s="44"/>
      <c r="B52" s="11" t="str">
        <f>CONCATENATE("          ", "4142", " - ", "NON-TAXABLE SALES-EVERYDAY GIF")</f>
        <v xml:space="preserve">          4142 - NON-TAXABLE SALES-EVERYDAY GIF</v>
      </c>
      <c r="C52" s="11"/>
      <c r="D52" s="2">
        <f t="shared" ref="D52:D55" si="9">0</f>
        <v>0</v>
      </c>
      <c r="E52" s="2"/>
      <c r="F52" s="19"/>
      <c r="G52" s="2"/>
      <c r="H52" s="2">
        <f>--30.16</f>
        <v>30.16</v>
      </c>
      <c r="I52" s="2"/>
      <c r="J52" s="19"/>
      <c r="K52" s="2"/>
      <c r="L52" s="2">
        <f t="shared" si="0"/>
        <v>-30.16</v>
      </c>
      <c r="M52" s="2"/>
      <c r="N52" s="19">
        <f t="shared" si="1"/>
        <v>-1</v>
      </c>
      <c r="O52" s="11"/>
      <c r="P52" s="2">
        <f t="shared" ref="P52:P55" si="10">0</f>
        <v>0</v>
      </c>
      <c r="Q52" s="2"/>
      <c r="R52" s="19"/>
      <c r="S52" s="2"/>
      <c r="T52" s="2">
        <f>--1009.73</f>
        <v>1009.73</v>
      </c>
      <c r="U52" s="2"/>
      <c r="V52" s="19"/>
      <c r="W52" s="2"/>
      <c r="X52" s="2">
        <f t="shared" si="2"/>
        <v>-1009.73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"4143", " - ", "NON-TAXABLE SALES-CARDS")</f>
        <v xml:space="preserve">          4143 - NON-TAXABLE SALES-CARDS</v>
      </c>
      <c r="C53" s="11"/>
      <c r="D53" s="2">
        <f t="shared" si="9"/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10"/>
        <v>0</v>
      </c>
      <c r="Q53" s="2"/>
      <c r="R53" s="19"/>
      <c r="S53" s="2"/>
      <c r="T53" s="2">
        <f>--19.98</f>
        <v>19.98</v>
      </c>
      <c r="U53" s="2"/>
      <c r="V53" s="19"/>
      <c r="W53" s="2"/>
      <c r="X53" s="2">
        <f t="shared" si="2"/>
        <v>-19.98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"4144", " - ", "NON-TAXABLE SALES-ACCESSORIES")</f>
        <v xml:space="preserve">          4144 - NON-TAXABLE SALES-ACCESSORIES</v>
      </c>
      <c r="C54" s="11"/>
      <c r="D54" s="2">
        <f t="shared" si="9"/>
        <v>0</v>
      </c>
      <c r="E54" s="2"/>
      <c r="F54" s="19"/>
      <c r="G54" s="2"/>
      <c r="H54" s="2">
        <f>--59.95</f>
        <v>59.95</v>
      </c>
      <c r="I54" s="2"/>
      <c r="J54" s="19"/>
      <c r="K54" s="2"/>
      <c r="L54" s="2">
        <f t="shared" si="0"/>
        <v>-59.95</v>
      </c>
      <c r="M54" s="2"/>
      <c r="N54" s="19">
        <f t="shared" si="1"/>
        <v>-1</v>
      </c>
      <c r="O54" s="11"/>
      <c r="P54" s="2">
        <f t="shared" si="10"/>
        <v>0</v>
      </c>
      <c r="Q54" s="2"/>
      <c r="R54" s="19"/>
      <c r="S54" s="2"/>
      <c r="T54" s="2">
        <f>--215.75</f>
        <v>215.75</v>
      </c>
      <c r="U54" s="2"/>
      <c r="V54" s="19"/>
      <c r="W54" s="2"/>
      <c r="X54" s="2">
        <f t="shared" si="2"/>
        <v>-215.75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"4145", " - ", "NON-TAXABLE SALES-SPECIAL ORDE")</f>
        <v xml:space="preserve">          4145 - NON-TAXABLE SALES-SPECIAL ORDE</v>
      </c>
      <c r="C55" s="11"/>
      <c r="D55" s="2">
        <f t="shared" si="9"/>
        <v>0</v>
      </c>
      <c r="E55" s="2"/>
      <c r="F55" s="19"/>
      <c r="G55" s="2"/>
      <c r="H55" s="2">
        <f>0</f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 t="shared" si="10"/>
        <v>0</v>
      </c>
      <c r="Q55" s="2"/>
      <c r="R55" s="19"/>
      <c r="S55" s="2"/>
      <c r="T55" s="2">
        <f>--35846</f>
        <v>35846</v>
      </c>
      <c r="U55" s="2"/>
      <c r="V55" s="19"/>
      <c r="W55" s="2"/>
      <c r="X55" s="2">
        <f t="shared" si="2"/>
        <v>-35846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"4146", " - ", "NON-TAXABLE SALES-COIN OP MACH")</f>
        <v xml:space="preserve">          4146 - NON-TAXABLE SALES-COIN OP MACH</v>
      </c>
      <c r="C56" s="11"/>
      <c r="D56" s="2">
        <f>--4759.35</f>
        <v>4759.3500000000004</v>
      </c>
      <c r="E56" s="2"/>
      <c r="F56" s="19"/>
      <c r="G56" s="2"/>
      <c r="H56" s="2">
        <f>--49.7</f>
        <v>49.7</v>
      </c>
      <c r="I56" s="2"/>
      <c r="J56" s="19"/>
      <c r="K56" s="2"/>
      <c r="L56" s="2">
        <f t="shared" si="0"/>
        <v>4709.6500000000005</v>
      </c>
      <c r="M56" s="2"/>
      <c r="N56" s="19">
        <f t="shared" si="1"/>
        <v>94.761569416499</v>
      </c>
      <c r="O56" s="11"/>
      <c r="P56" s="2">
        <f>--7492.95</f>
        <v>7492.95</v>
      </c>
      <c r="Q56" s="2"/>
      <c r="R56" s="19"/>
      <c r="S56" s="2"/>
      <c r="T56" s="2">
        <f>--65.2</f>
        <v>65.2</v>
      </c>
      <c r="U56" s="2"/>
      <c r="V56" s="19"/>
      <c r="W56" s="2"/>
      <c r="X56" s="2">
        <f t="shared" si="2"/>
        <v>7427.75</v>
      </c>
      <c r="Y56" s="2"/>
      <c r="Z56" s="19">
        <f t="shared" si="3"/>
        <v>113.92254601226993</v>
      </c>
    </row>
    <row r="57" spans="1:26" s="24" customFormat="1" hidden="1" outlineLevel="1" x14ac:dyDescent="0.25">
      <c r="A57" s="44"/>
      <c r="B57" s="11" t="str">
        <f>CONCATENATE("          ", "4147", " - ", "NON-TAXABLE SALES-MISC")</f>
        <v xml:space="preserve">          4147 - NON-TAXABLE SALES-MISC</v>
      </c>
      <c r="C57" s="11"/>
      <c r="D57" s="2">
        <f t="shared" ref="D57:D62" si="11">0</f>
        <v>0</v>
      </c>
      <c r="E57" s="2"/>
      <c r="F57" s="19"/>
      <c r="G57" s="2"/>
      <c r="H57" s="2">
        <f>--24</f>
        <v>24</v>
      </c>
      <c r="I57" s="2"/>
      <c r="J57" s="19"/>
      <c r="K57" s="2"/>
      <c r="L57" s="2">
        <f t="shared" si="0"/>
        <v>-24</v>
      </c>
      <c r="M57" s="2"/>
      <c r="N57" s="19">
        <f t="shared" si="1"/>
        <v>-1</v>
      </c>
      <c r="O57" s="11"/>
      <c r="P57" s="2">
        <f t="shared" ref="P57:P62" si="12">0</f>
        <v>0</v>
      </c>
      <c r="Q57" s="2"/>
      <c r="R57" s="19"/>
      <c r="S57" s="2"/>
      <c r="T57" s="2">
        <f>--48</f>
        <v>48</v>
      </c>
      <c r="U57" s="2"/>
      <c r="V57" s="19"/>
      <c r="W57" s="2"/>
      <c r="X57" s="2">
        <f t="shared" si="2"/>
        <v>-48</v>
      </c>
      <c r="Y57" s="2"/>
      <c r="Z57" s="19">
        <f t="shared" si="3"/>
        <v>-1</v>
      </c>
    </row>
    <row r="58" spans="1:26" s="24" customFormat="1" hidden="1" outlineLevel="1" x14ac:dyDescent="0.25">
      <c r="A58" s="44"/>
      <c r="B58" s="11" t="str">
        <f>CONCATENATE("          ", "4181", " - ", "NON-TAXABLE SALES-ELECTRONICS")</f>
        <v xml:space="preserve">          4181 - NON-TAXABLE SALES-ELECTRONICS</v>
      </c>
      <c r="C58" s="11"/>
      <c r="D58" s="2">
        <f t="shared" si="11"/>
        <v>0</v>
      </c>
      <c r="E58" s="2"/>
      <c r="F58" s="19"/>
      <c r="G58" s="2"/>
      <c r="H58" s="2">
        <f>--669.89</f>
        <v>669.89</v>
      </c>
      <c r="I58" s="2"/>
      <c r="J58" s="19"/>
      <c r="K58" s="2"/>
      <c r="L58" s="2">
        <f t="shared" si="0"/>
        <v>-669.89</v>
      </c>
      <c r="M58" s="2"/>
      <c r="N58" s="19">
        <f t="shared" si="1"/>
        <v>-1</v>
      </c>
      <c r="O58" s="11"/>
      <c r="P58" s="2">
        <f t="shared" si="12"/>
        <v>0</v>
      </c>
      <c r="Q58" s="2"/>
      <c r="R58" s="19"/>
      <c r="S58" s="2"/>
      <c r="T58" s="2">
        <f>--3309.16</f>
        <v>3309.16</v>
      </c>
      <c r="U58" s="2"/>
      <c r="V58" s="19"/>
      <c r="W58" s="2"/>
      <c r="X58" s="2">
        <f t="shared" si="2"/>
        <v>-3309.16</v>
      </c>
      <c r="Y58" s="2"/>
      <c r="Z58" s="19">
        <f t="shared" si="3"/>
        <v>-1</v>
      </c>
    </row>
    <row r="59" spans="1:26" s="24" customFormat="1" hidden="1" outlineLevel="1" x14ac:dyDescent="0.25">
      <c r="A59" s="44"/>
      <c r="B59" s="11" t="str">
        <f>CONCATENATE("          ", "4182", " - ", "NON-TAXABLE SALES-COMPUTER HAR")</f>
        <v xml:space="preserve">          4182 - NON-TAXABLE SALES-COMPUTER HAR</v>
      </c>
      <c r="C59" s="11"/>
      <c r="D59" s="2">
        <f t="shared" si="11"/>
        <v>0</v>
      </c>
      <c r="E59" s="2"/>
      <c r="F59" s="19"/>
      <c r="G59" s="2"/>
      <c r="H59" s="2">
        <f>--38657</f>
        <v>38657</v>
      </c>
      <c r="I59" s="2"/>
      <c r="J59" s="19"/>
      <c r="K59" s="2"/>
      <c r="L59" s="2">
        <f t="shared" si="0"/>
        <v>-38657</v>
      </c>
      <c r="M59" s="2"/>
      <c r="N59" s="19">
        <f t="shared" si="1"/>
        <v>-1</v>
      </c>
      <c r="O59" s="11"/>
      <c r="P59" s="2">
        <f t="shared" si="12"/>
        <v>0</v>
      </c>
      <c r="Q59" s="2"/>
      <c r="R59" s="19"/>
      <c r="S59" s="2"/>
      <c r="T59" s="2">
        <f>--120724.38</f>
        <v>120724.38</v>
      </c>
      <c r="U59" s="2"/>
      <c r="V59" s="19"/>
      <c r="W59" s="2"/>
      <c r="X59" s="2">
        <f t="shared" si="2"/>
        <v>-120724.38</v>
      </c>
      <c r="Y59" s="2"/>
      <c r="Z59" s="19">
        <f t="shared" si="3"/>
        <v>-1</v>
      </c>
    </row>
    <row r="60" spans="1:26" s="24" customFormat="1" hidden="1" outlineLevel="1" x14ac:dyDescent="0.25">
      <c r="A60" s="44"/>
      <c r="B60" s="11" t="str">
        <f>CONCATENATE("          ", "4183", " - ", "NON-TAXABLE SALES-COMPUTER EQU")</f>
        <v xml:space="preserve">          4183 - NON-TAXABLE SALES-COMPUTER EQU</v>
      </c>
      <c r="C60" s="11"/>
      <c r="D60" s="2">
        <f t="shared" si="11"/>
        <v>0</v>
      </c>
      <c r="E60" s="2"/>
      <c r="F60" s="19"/>
      <c r="G60" s="2"/>
      <c r="H60" s="2">
        <f>--1946.8</f>
        <v>1946.8</v>
      </c>
      <c r="I60" s="2"/>
      <c r="J60" s="19"/>
      <c r="K60" s="2"/>
      <c r="L60" s="2">
        <f t="shared" si="0"/>
        <v>-1946.8</v>
      </c>
      <c r="M60" s="2"/>
      <c r="N60" s="19">
        <f t="shared" si="1"/>
        <v>-1</v>
      </c>
      <c r="O60" s="11"/>
      <c r="P60" s="2">
        <f t="shared" si="12"/>
        <v>0</v>
      </c>
      <c r="Q60" s="2"/>
      <c r="R60" s="19"/>
      <c r="S60" s="2"/>
      <c r="T60" s="2">
        <f>--5066.48</f>
        <v>5066.4799999999996</v>
      </c>
      <c r="U60" s="2"/>
      <c r="V60" s="19"/>
      <c r="W60" s="2"/>
      <c r="X60" s="2">
        <f t="shared" si="2"/>
        <v>-5066.4799999999996</v>
      </c>
      <c r="Y60" s="2"/>
      <c r="Z60" s="19">
        <f t="shared" si="3"/>
        <v>-1</v>
      </c>
    </row>
    <row r="61" spans="1:26" s="24" customFormat="1" hidden="1" outlineLevel="1" x14ac:dyDescent="0.25">
      <c r="A61" s="44"/>
      <c r="B61" s="11" t="str">
        <f>CONCATENATE("          ", "4185", " - ", "NON-TAXABLE SALES-SOFTWARE")</f>
        <v xml:space="preserve">          4185 - NON-TAXABLE SALES-SOFTWARE</v>
      </c>
      <c r="C61" s="11"/>
      <c r="D61" s="2">
        <f t="shared" si="11"/>
        <v>0</v>
      </c>
      <c r="E61" s="2"/>
      <c r="F61" s="19"/>
      <c r="G61" s="2"/>
      <c r="H61" s="2">
        <f>--8427.6</f>
        <v>8427.6</v>
      </c>
      <c r="I61" s="2"/>
      <c r="J61" s="19"/>
      <c r="K61" s="2"/>
      <c r="L61" s="2">
        <f t="shared" si="0"/>
        <v>-8427.6</v>
      </c>
      <c r="M61" s="2"/>
      <c r="N61" s="19">
        <f t="shared" si="1"/>
        <v>-1</v>
      </c>
      <c r="O61" s="11"/>
      <c r="P61" s="2">
        <f t="shared" si="12"/>
        <v>0</v>
      </c>
      <c r="Q61" s="2"/>
      <c r="R61" s="19"/>
      <c r="S61" s="2"/>
      <c r="T61" s="2">
        <f>--19226.09</f>
        <v>19226.09</v>
      </c>
      <c r="U61" s="2"/>
      <c r="V61" s="19"/>
      <c r="W61" s="2"/>
      <c r="X61" s="2">
        <f t="shared" si="2"/>
        <v>-19226.09</v>
      </c>
      <c r="Y61" s="2"/>
      <c r="Z61" s="19">
        <f t="shared" si="3"/>
        <v>-1</v>
      </c>
    </row>
    <row r="62" spans="1:26" s="24" customFormat="1" hidden="1" outlineLevel="1" x14ac:dyDescent="0.25">
      <c r="A62" s="44"/>
      <c r="B62" s="11" t="str">
        <f>CONCATENATE("          ", "4186", " - ", "NON-TAXABLE SALES-COMPUTER SUP")</f>
        <v xml:space="preserve">          4186 - NON-TAXABLE SALES-COMPUTER SUP</v>
      </c>
      <c r="C62" s="11"/>
      <c r="D62" s="2">
        <f t="shared" si="11"/>
        <v>0</v>
      </c>
      <c r="E62" s="2"/>
      <c r="F62" s="19"/>
      <c r="G62" s="2"/>
      <c r="H62" s="2">
        <f>--460.89</f>
        <v>460.89</v>
      </c>
      <c r="I62" s="2"/>
      <c r="J62" s="19"/>
      <c r="K62" s="2"/>
      <c r="L62" s="2">
        <f t="shared" si="0"/>
        <v>-460.89</v>
      </c>
      <c r="M62" s="2"/>
      <c r="N62" s="19">
        <f t="shared" si="1"/>
        <v>-1</v>
      </c>
      <c r="O62" s="11"/>
      <c r="P62" s="2">
        <f t="shared" si="12"/>
        <v>0</v>
      </c>
      <c r="Q62" s="2"/>
      <c r="R62" s="19"/>
      <c r="S62" s="2"/>
      <c r="T62" s="2">
        <f>--873.79</f>
        <v>873.79</v>
      </c>
      <c r="U62" s="2"/>
      <c r="V62" s="19"/>
      <c r="W62" s="2"/>
      <c r="X62" s="2">
        <f t="shared" si="2"/>
        <v>-873.79</v>
      </c>
      <c r="Y62" s="2"/>
      <c r="Z62" s="19">
        <f t="shared" si="3"/>
        <v>-1</v>
      </c>
    </row>
    <row r="63" spans="1:26" s="24" customFormat="1" hidden="1" outlineLevel="1" x14ac:dyDescent="0.25">
      <c r="A63" s="44"/>
      <c r="B63" s="11" t="str">
        <f>CONCATENATE("          ", "4200", " - ", "TAXABLE RETURNS")</f>
        <v xml:space="preserve">          4200 - TAXABLE RETURNS</v>
      </c>
      <c r="C63" s="11"/>
      <c r="D63" s="2">
        <f>-43203.32</f>
        <v>-43203.32</v>
      </c>
      <c r="E63" s="2"/>
      <c r="F63" s="19"/>
      <c r="G63" s="2"/>
      <c r="H63" s="2">
        <f>0</f>
        <v>0</v>
      </c>
      <c r="I63" s="2"/>
      <c r="J63" s="19"/>
      <c r="K63" s="2"/>
      <c r="L63" s="2">
        <f t="shared" si="0"/>
        <v>-43203.32</v>
      </c>
      <c r="M63" s="2"/>
      <c r="N63" s="19">
        <f t="shared" si="1"/>
        <v>0</v>
      </c>
      <c r="O63" s="11"/>
      <c r="P63" s="2">
        <f>-128627.07</f>
        <v>-128627.07</v>
      </c>
      <c r="Q63" s="2"/>
      <c r="R63" s="19"/>
      <c r="S63" s="2"/>
      <c r="T63" s="2">
        <f>0</f>
        <v>0</v>
      </c>
      <c r="U63" s="2"/>
      <c r="V63" s="19"/>
      <c r="W63" s="2"/>
      <c r="X63" s="2">
        <f t="shared" si="2"/>
        <v>-128627.07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"4201", " - ", "SALES RETURN TAXABLE-NEW TEXT")</f>
        <v xml:space="preserve">          4201 - SALES RETURN TAXABLE-NEW TEXT</v>
      </c>
      <c r="C64" s="11"/>
      <c r="D64" s="2">
        <f t="shared" ref="D64:D80" si="13">0</f>
        <v>0</v>
      </c>
      <c r="E64" s="2"/>
      <c r="F64" s="19"/>
      <c r="G64" s="2"/>
      <c r="H64" s="2">
        <f>-13393.2</f>
        <v>-13393.2</v>
      </c>
      <c r="I64" s="2"/>
      <c r="J64" s="19"/>
      <c r="K64" s="2"/>
      <c r="L64" s="2">
        <f t="shared" si="0"/>
        <v>13393.2</v>
      </c>
      <c r="M64" s="2"/>
      <c r="N64" s="19">
        <f t="shared" si="1"/>
        <v>-1</v>
      </c>
      <c r="O64" s="11"/>
      <c r="P64" s="2">
        <f t="shared" ref="P64:P80" si="14">0</f>
        <v>0</v>
      </c>
      <c r="Q64" s="2"/>
      <c r="R64" s="19"/>
      <c r="S64" s="2"/>
      <c r="T64" s="2">
        <f>-32248.99</f>
        <v>-32248.99</v>
      </c>
      <c r="U64" s="2"/>
      <c r="V64" s="19"/>
      <c r="W64" s="2"/>
      <c r="X64" s="2">
        <f t="shared" si="2"/>
        <v>32248.99</v>
      </c>
      <c r="Y64" s="2"/>
      <c r="Z64" s="19">
        <f t="shared" si="3"/>
        <v>-1</v>
      </c>
    </row>
    <row r="65" spans="1:26" s="24" customFormat="1" hidden="1" outlineLevel="1" x14ac:dyDescent="0.25">
      <c r="A65" s="44"/>
      <c r="B65" s="11" t="str">
        <f>CONCATENATE("          ", "4202", " - ", "SALES RETURN TAXABLE-USED TEXT")</f>
        <v xml:space="preserve">          4202 - SALES RETURN TAXABLE-USED TEXT</v>
      </c>
      <c r="C65" s="11"/>
      <c r="D65" s="2">
        <f t="shared" si="13"/>
        <v>0</v>
      </c>
      <c r="E65" s="2"/>
      <c r="F65" s="19"/>
      <c r="G65" s="2"/>
      <c r="H65" s="2">
        <f>-1345.2</f>
        <v>-1345.2</v>
      </c>
      <c r="I65" s="2"/>
      <c r="J65" s="19"/>
      <c r="K65" s="2"/>
      <c r="L65" s="2">
        <f t="shared" si="0"/>
        <v>1345.2</v>
      </c>
      <c r="M65" s="2"/>
      <c r="N65" s="19">
        <f t="shared" si="1"/>
        <v>-1</v>
      </c>
      <c r="O65" s="11"/>
      <c r="P65" s="2">
        <f t="shared" si="14"/>
        <v>0</v>
      </c>
      <c r="Q65" s="2"/>
      <c r="R65" s="19"/>
      <c r="S65" s="2"/>
      <c r="T65" s="2">
        <f>-10392.95</f>
        <v>-10392.950000000001</v>
      </c>
      <c r="U65" s="2"/>
      <c r="V65" s="19"/>
      <c r="W65" s="2"/>
      <c r="X65" s="2">
        <f t="shared" si="2"/>
        <v>10392.950000000001</v>
      </c>
      <c r="Y65" s="2"/>
      <c r="Z65" s="19">
        <f t="shared" si="3"/>
        <v>-1</v>
      </c>
    </row>
    <row r="66" spans="1:26" s="24" customFormat="1" hidden="1" outlineLevel="1" x14ac:dyDescent="0.25">
      <c r="A66" s="44"/>
      <c r="B66" s="11" t="str">
        <f>CONCATENATE("          ", "4204", " - ", "SALES RETURN TAXABLE-DIGITAL T")</f>
        <v xml:space="preserve">          4204 - SALES RETURN TAXABLE-DIGITAL T</v>
      </c>
      <c r="C66" s="11"/>
      <c r="D66" s="2">
        <f t="shared" si="13"/>
        <v>0</v>
      </c>
      <c r="E66" s="2"/>
      <c r="F66" s="19"/>
      <c r="G66" s="2"/>
      <c r="H66" s="2">
        <f>-105.87</f>
        <v>-105.87</v>
      </c>
      <c r="I66" s="2"/>
      <c r="J66" s="19"/>
      <c r="K66" s="2"/>
      <c r="L66" s="2">
        <f t="shared" si="0"/>
        <v>105.87</v>
      </c>
      <c r="M66" s="2"/>
      <c r="N66" s="19">
        <f t="shared" si="1"/>
        <v>-1</v>
      </c>
      <c r="O66" s="11"/>
      <c r="P66" s="2">
        <f t="shared" si="14"/>
        <v>0</v>
      </c>
      <c r="Q66" s="2"/>
      <c r="R66" s="19"/>
      <c r="S66" s="2"/>
      <c r="T66" s="2">
        <f>-1246.95</f>
        <v>-1246.95</v>
      </c>
      <c r="U66" s="2"/>
      <c r="V66" s="19"/>
      <c r="W66" s="2"/>
      <c r="X66" s="2">
        <f t="shared" si="2"/>
        <v>1246.95</v>
      </c>
      <c r="Y66" s="2"/>
      <c r="Z66" s="19">
        <f t="shared" si="3"/>
        <v>-1</v>
      </c>
    </row>
    <row r="67" spans="1:26" s="24" customFormat="1" hidden="1" outlineLevel="1" x14ac:dyDescent="0.25">
      <c r="A67" s="44"/>
      <c r="B67" s="11" t="str">
        <f>CONCATENATE("          ", "4226", " - ", "SALES RETURN TAXABLE-WRITING I")</f>
        <v xml:space="preserve">          4226 - SALES RETURN TAXABLE-WRITING I</v>
      </c>
      <c r="C67" s="11"/>
      <c r="D67" s="2">
        <f t="shared" si="13"/>
        <v>0</v>
      </c>
      <c r="E67" s="2"/>
      <c r="F67" s="19"/>
      <c r="G67" s="2"/>
      <c r="H67" s="2">
        <f>-22.49</f>
        <v>-22.49</v>
      </c>
      <c r="I67" s="2"/>
      <c r="J67" s="19"/>
      <c r="K67" s="2"/>
      <c r="L67" s="2">
        <f t="shared" si="0"/>
        <v>22.49</v>
      </c>
      <c r="M67" s="2"/>
      <c r="N67" s="19">
        <f t="shared" si="1"/>
        <v>-1</v>
      </c>
      <c r="O67" s="11"/>
      <c r="P67" s="2">
        <f t="shared" si="14"/>
        <v>0</v>
      </c>
      <c r="Q67" s="2"/>
      <c r="R67" s="19"/>
      <c r="S67" s="2"/>
      <c r="T67" s="2">
        <f>-28.87</f>
        <v>-28.87</v>
      </c>
      <c r="U67" s="2"/>
      <c r="V67" s="19"/>
      <c r="W67" s="2"/>
      <c r="X67" s="2">
        <f t="shared" si="2"/>
        <v>28.87</v>
      </c>
      <c r="Y67" s="2"/>
      <c r="Z67" s="19">
        <f t="shared" si="3"/>
        <v>-1</v>
      </c>
    </row>
    <row r="68" spans="1:26" s="24" customFormat="1" hidden="1" outlineLevel="1" x14ac:dyDescent="0.25">
      <c r="A68" s="44"/>
      <c r="B68" s="11" t="str">
        <f>CONCATENATE("          ", "4227", " - ", "SALES RETURN TAXABLE-SCHOOL SU")</f>
        <v xml:space="preserve">          4227 - SALES RETURN TAXABLE-SCHOOL SU</v>
      </c>
      <c r="C68" s="11"/>
      <c r="D68" s="2">
        <f t="shared" si="13"/>
        <v>0</v>
      </c>
      <c r="E68" s="2"/>
      <c r="F68" s="19"/>
      <c r="G68" s="2"/>
      <c r="H68" s="2">
        <f>-152.29</f>
        <v>-152.29</v>
      </c>
      <c r="I68" s="2"/>
      <c r="J68" s="19"/>
      <c r="K68" s="2"/>
      <c r="L68" s="2">
        <f t="shared" si="0"/>
        <v>152.29</v>
      </c>
      <c r="M68" s="2"/>
      <c r="N68" s="19">
        <f t="shared" si="1"/>
        <v>-1</v>
      </c>
      <c r="O68" s="11"/>
      <c r="P68" s="2">
        <f t="shared" si="14"/>
        <v>0</v>
      </c>
      <c r="Q68" s="2"/>
      <c r="R68" s="19"/>
      <c r="S68" s="2"/>
      <c r="T68" s="2">
        <f>-568.67</f>
        <v>-568.66999999999996</v>
      </c>
      <c r="U68" s="2"/>
      <c r="V68" s="19"/>
      <c r="W68" s="2"/>
      <c r="X68" s="2">
        <f t="shared" si="2"/>
        <v>568.66999999999996</v>
      </c>
      <c r="Y68" s="2"/>
      <c r="Z68" s="19">
        <f t="shared" si="3"/>
        <v>-1</v>
      </c>
    </row>
    <row r="69" spans="1:26" s="24" customFormat="1" hidden="1" outlineLevel="1" x14ac:dyDescent="0.25">
      <c r="A69" s="44"/>
      <c r="B69" s="11" t="str">
        <f>CONCATENATE("          ", "4228", " - ", "SALES RETURN TAXABLE-ART/TECH")</f>
        <v xml:space="preserve">          4228 - SALES RETURN TAXABLE-ART/TECH</v>
      </c>
      <c r="C69" s="11"/>
      <c r="D69" s="2">
        <f t="shared" si="13"/>
        <v>0</v>
      </c>
      <c r="E69" s="2"/>
      <c r="F69" s="19"/>
      <c r="G69" s="2"/>
      <c r="H69" s="2">
        <f>-57.76</f>
        <v>-57.76</v>
      </c>
      <c r="I69" s="2"/>
      <c r="J69" s="19"/>
      <c r="K69" s="2"/>
      <c r="L69" s="2">
        <f t="shared" si="0"/>
        <v>57.76</v>
      </c>
      <c r="M69" s="2"/>
      <c r="N69" s="19">
        <f t="shared" si="1"/>
        <v>-1</v>
      </c>
      <c r="O69" s="11"/>
      <c r="P69" s="2">
        <f t="shared" si="14"/>
        <v>0</v>
      </c>
      <c r="Q69" s="2"/>
      <c r="R69" s="19"/>
      <c r="S69" s="2"/>
      <c r="T69" s="2">
        <f>-222.2</f>
        <v>-222.2</v>
      </c>
      <c r="U69" s="2"/>
      <c r="V69" s="19"/>
      <c r="W69" s="2"/>
      <c r="X69" s="2">
        <f t="shared" si="2"/>
        <v>222.2</v>
      </c>
      <c r="Y69" s="2"/>
      <c r="Z69" s="19">
        <f t="shared" si="3"/>
        <v>-1</v>
      </c>
    </row>
    <row r="70" spans="1:26" s="24" customFormat="1" hidden="1" outlineLevel="1" x14ac:dyDescent="0.25">
      <c r="A70" s="44"/>
      <c r="B70" s="11" t="str">
        <f>CONCATENATE("          ", "4240", " - ", "SALES RETURN TAXABLE-LOGO CLOT")</f>
        <v xml:space="preserve">          4240 - SALES RETURN TAXABLE-LOGO CLOT</v>
      </c>
      <c r="C70" s="11"/>
      <c r="D70" s="2">
        <f t="shared" si="13"/>
        <v>0</v>
      </c>
      <c r="E70" s="2"/>
      <c r="F70" s="19"/>
      <c r="G70" s="2"/>
      <c r="H70" s="2">
        <f>-3453.14</f>
        <v>-3453.14</v>
      </c>
      <c r="I70" s="2"/>
      <c r="J70" s="19"/>
      <c r="K70" s="2"/>
      <c r="L70" s="2">
        <f t="shared" si="0"/>
        <v>3453.14</v>
      </c>
      <c r="M70" s="2"/>
      <c r="N70" s="19">
        <f t="shared" si="1"/>
        <v>-1</v>
      </c>
      <c r="O70" s="11"/>
      <c r="P70" s="2">
        <f t="shared" si="14"/>
        <v>0</v>
      </c>
      <c r="Q70" s="2"/>
      <c r="R70" s="19"/>
      <c r="S70" s="2"/>
      <c r="T70" s="2">
        <f>-11609.96</f>
        <v>-11609.96</v>
      </c>
      <c r="U70" s="2"/>
      <c r="V70" s="19"/>
      <c r="W70" s="2"/>
      <c r="X70" s="2">
        <f t="shared" si="2"/>
        <v>11609.96</v>
      </c>
      <c r="Y70" s="2"/>
      <c r="Z70" s="19">
        <f t="shared" si="3"/>
        <v>-1</v>
      </c>
    </row>
    <row r="71" spans="1:26" s="24" customFormat="1" hidden="1" outlineLevel="1" x14ac:dyDescent="0.25">
      <c r="A71" s="44"/>
      <c r="B71" s="11" t="str">
        <f>CONCATENATE("          ", "4241", " - ", "SALES RETURN TAXABLE-LOGO GIFT")</f>
        <v xml:space="preserve">          4241 - SALES RETURN TAXABLE-LOGO GIFT</v>
      </c>
      <c r="C71" s="11"/>
      <c r="D71" s="2">
        <f t="shared" si="13"/>
        <v>0</v>
      </c>
      <c r="E71" s="2"/>
      <c r="F71" s="19"/>
      <c r="G71" s="2"/>
      <c r="H71" s="2">
        <f>-988.92</f>
        <v>-988.92</v>
      </c>
      <c r="I71" s="2"/>
      <c r="J71" s="19"/>
      <c r="K71" s="2"/>
      <c r="L71" s="2">
        <f t="shared" si="0"/>
        <v>988.92</v>
      </c>
      <c r="M71" s="2"/>
      <c r="N71" s="19">
        <f t="shared" si="1"/>
        <v>-1</v>
      </c>
      <c r="O71" s="11"/>
      <c r="P71" s="2">
        <f t="shared" si="14"/>
        <v>0</v>
      </c>
      <c r="Q71" s="2"/>
      <c r="R71" s="19"/>
      <c r="S71" s="2"/>
      <c r="T71" s="2">
        <f>-2317.11</f>
        <v>-2317.11</v>
      </c>
      <c r="U71" s="2"/>
      <c r="V71" s="19"/>
      <c r="W71" s="2"/>
      <c r="X71" s="2">
        <f t="shared" si="2"/>
        <v>2317.11</v>
      </c>
      <c r="Y71" s="2"/>
      <c r="Z71" s="19">
        <f t="shared" si="3"/>
        <v>-1</v>
      </c>
    </row>
    <row r="72" spans="1:26" s="24" customFormat="1" hidden="1" outlineLevel="1" x14ac:dyDescent="0.25">
      <c r="A72" s="44"/>
      <c r="B72" s="11" t="str">
        <f>CONCATENATE("          ", "4242", " - ", "SALES RETURN TAXABLE-EVERYDAY")</f>
        <v xml:space="preserve">          4242 - SALES RETURN TAXABLE-EVERYDAY</v>
      </c>
      <c r="C72" s="11"/>
      <c r="D72" s="2">
        <f t="shared" si="13"/>
        <v>0</v>
      </c>
      <c r="E72" s="2"/>
      <c r="F72" s="19"/>
      <c r="G72" s="2"/>
      <c r="H72" s="2">
        <f>-405.07</f>
        <v>-405.07</v>
      </c>
      <c r="I72" s="2"/>
      <c r="J72" s="19"/>
      <c r="K72" s="2"/>
      <c r="L72" s="2">
        <f t="shared" si="0"/>
        <v>405.07</v>
      </c>
      <c r="M72" s="2"/>
      <c r="N72" s="19">
        <f t="shared" si="1"/>
        <v>-1</v>
      </c>
      <c r="O72" s="11"/>
      <c r="P72" s="2">
        <f t="shared" si="14"/>
        <v>0</v>
      </c>
      <c r="Q72" s="2"/>
      <c r="R72" s="19"/>
      <c r="S72" s="2"/>
      <c r="T72" s="2">
        <f>-1054.56</f>
        <v>-1054.56</v>
      </c>
      <c r="U72" s="2"/>
      <c r="V72" s="19"/>
      <c r="W72" s="2"/>
      <c r="X72" s="2">
        <f t="shared" si="2"/>
        <v>1054.56</v>
      </c>
      <c r="Y72" s="2"/>
      <c r="Z72" s="19">
        <f t="shared" si="3"/>
        <v>-1</v>
      </c>
    </row>
    <row r="73" spans="1:26" s="24" customFormat="1" hidden="1" outlineLevel="1" x14ac:dyDescent="0.25">
      <c r="A73" s="44"/>
      <c r="B73" s="11" t="str">
        <f>CONCATENATE("          ", "4243", " - ", "SALES RETURN TAXABLE-CARDS")</f>
        <v xml:space="preserve">          4243 - SALES RETURN TAXABLE-CARDS</v>
      </c>
      <c r="C73" s="11"/>
      <c r="D73" s="2">
        <f t="shared" si="13"/>
        <v>0</v>
      </c>
      <c r="E73" s="2"/>
      <c r="F73" s="19"/>
      <c r="G73" s="2"/>
      <c r="H73" s="2">
        <f>-59.94</f>
        <v>-59.94</v>
      </c>
      <c r="I73" s="2"/>
      <c r="J73" s="19"/>
      <c r="K73" s="2"/>
      <c r="L73" s="2">
        <f t="shared" si="0"/>
        <v>59.94</v>
      </c>
      <c r="M73" s="2"/>
      <c r="N73" s="19">
        <f t="shared" si="1"/>
        <v>-1</v>
      </c>
      <c r="O73" s="11"/>
      <c r="P73" s="2">
        <f t="shared" si="14"/>
        <v>0</v>
      </c>
      <c r="Q73" s="2"/>
      <c r="R73" s="19"/>
      <c r="S73" s="2"/>
      <c r="T73" s="2">
        <f>-153.37</f>
        <v>-153.37</v>
      </c>
      <c r="U73" s="2"/>
      <c r="V73" s="19"/>
      <c r="W73" s="2"/>
      <c r="X73" s="2">
        <f t="shared" si="2"/>
        <v>153.37</v>
      </c>
      <c r="Y73" s="2"/>
      <c r="Z73" s="19">
        <f t="shared" si="3"/>
        <v>-1</v>
      </c>
    </row>
    <row r="74" spans="1:26" s="24" customFormat="1" hidden="1" outlineLevel="1" x14ac:dyDescent="0.25">
      <c r="A74" s="44"/>
      <c r="B74" s="11" t="str">
        <f>CONCATENATE("          ", "4244", " - ", "SALES RETURN TAXABLE-ACCESSORI")</f>
        <v xml:space="preserve">          4244 - SALES RETURN TAXABLE-ACCESSORI</v>
      </c>
      <c r="C74" s="11"/>
      <c r="D74" s="2">
        <f t="shared" si="13"/>
        <v>0</v>
      </c>
      <c r="E74" s="2"/>
      <c r="F74" s="19"/>
      <c r="G74" s="2"/>
      <c r="H74" s="2">
        <f>-60</f>
        <v>-60</v>
      </c>
      <c r="I74" s="2"/>
      <c r="J74" s="19"/>
      <c r="K74" s="2"/>
      <c r="L74" s="2">
        <f t="shared" si="0"/>
        <v>60</v>
      </c>
      <c r="M74" s="2"/>
      <c r="N74" s="19">
        <f t="shared" si="1"/>
        <v>-1</v>
      </c>
      <c r="O74" s="11"/>
      <c r="P74" s="2">
        <f t="shared" si="14"/>
        <v>0</v>
      </c>
      <c r="Q74" s="2"/>
      <c r="R74" s="19"/>
      <c r="S74" s="2"/>
      <c r="T74" s="2">
        <f>-410.99</f>
        <v>-410.99</v>
      </c>
      <c r="U74" s="2"/>
      <c r="V74" s="19"/>
      <c r="W74" s="2"/>
      <c r="X74" s="2">
        <f t="shared" si="2"/>
        <v>410.99</v>
      </c>
      <c r="Y74" s="2"/>
      <c r="Z74" s="19">
        <f t="shared" si="3"/>
        <v>-1</v>
      </c>
    </row>
    <row r="75" spans="1:26" s="24" customFormat="1" hidden="1" outlineLevel="1" x14ac:dyDescent="0.25">
      <c r="A75" s="44"/>
      <c r="B75" s="11" t="str">
        <f>CONCATENATE("          ", "4245", " - ", "SALES RETURN TAXABLE-SPECIAL O")</f>
        <v xml:space="preserve">          4245 - SALES RETURN TAXABLE-SPECIAL O</v>
      </c>
      <c r="C75" s="11"/>
      <c r="D75" s="2">
        <f t="shared" si="13"/>
        <v>0</v>
      </c>
      <c r="E75" s="2"/>
      <c r="F75" s="19"/>
      <c r="G75" s="2"/>
      <c r="H75" s="2">
        <f>-3.99</f>
        <v>-3.99</v>
      </c>
      <c r="I75" s="2"/>
      <c r="J75" s="19"/>
      <c r="K75" s="2"/>
      <c r="L75" s="2">
        <f t="shared" si="0"/>
        <v>3.99</v>
      </c>
      <c r="M75" s="2"/>
      <c r="N75" s="19">
        <f t="shared" si="1"/>
        <v>-1</v>
      </c>
      <c r="O75" s="11"/>
      <c r="P75" s="2">
        <f t="shared" si="14"/>
        <v>0</v>
      </c>
      <c r="Q75" s="2"/>
      <c r="R75" s="19"/>
      <c r="S75" s="2"/>
      <c r="T75" s="2">
        <f>-1182.95</f>
        <v>-1182.95</v>
      </c>
      <c r="U75" s="2"/>
      <c r="V75" s="19"/>
      <c r="W75" s="2"/>
      <c r="X75" s="2">
        <f t="shared" si="2"/>
        <v>1182.95</v>
      </c>
      <c r="Y75" s="2"/>
      <c r="Z75" s="19">
        <f t="shared" si="3"/>
        <v>-1</v>
      </c>
    </row>
    <row r="76" spans="1:26" s="24" customFormat="1" hidden="1" outlineLevel="1" x14ac:dyDescent="0.25">
      <c r="A76" s="44"/>
      <c r="B76" s="11" t="str">
        <f>CONCATENATE("          ", "4281", " - ", "SALES RETURN TAXABLE-ELECTRONI")</f>
        <v xml:space="preserve">          4281 - SALES RETURN TAXABLE-ELECTRONI</v>
      </c>
      <c r="C76" s="11"/>
      <c r="D76" s="2">
        <f t="shared" si="13"/>
        <v>0</v>
      </c>
      <c r="E76" s="2"/>
      <c r="F76" s="19"/>
      <c r="G76" s="2"/>
      <c r="H76" s="2">
        <f>-557.94</f>
        <v>-557.94000000000005</v>
      </c>
      <c r="I76" s="2"/>
      <c r="J76" s="19"/>
      <c r="K76" s="2"/>
      <c r="L76" s="2">
        <f t="shared" si="0"/>
        <v>557.94000000000005</v>
      </c>
      <c r="M76" s="2"/>
      <c r="N76" s="19">
        <f t="shared" si="1"/>
        <v>-1</v>
      </c>
      <c r="O76" s="11"/>
      <c r="P76" s="2">
        <f t="shared" si="14"/>
        <v>0</v>
      </c>
      <c r="Q76" s="2"/>
      <c r="R76" s="19"/>
      <c r="S76" s="2"/>
      <c r="T76" s="2">
        <f>-14274.16</f>
        <v>-14274.16</v>
      </c>
      <c r="U76" s="2"/>
      <c r="V76" s="19"/>
      <c r="W76" s="2"/>
      <c r="X76" s="2">
        <f t="shared" si="2"/>
        <v>14274.16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"4282", " - ", "SALES RETURN TAXABLE-COMPUTER")</f>
        <v xml:space="preserve">          4282 - SALES RETURN TAXABLE-COMPUTER</v>
      </c>
      <c r="C77" s="11"/>
      <c r="D77" s="2">
        <f t="shared" si="13"/>
        <v>0</v>
      </c>
      <c r="E77" s="2"/>
      <c r="F77" s="19"/>
      <c r="G77" s="2"/>
      <c r="H77" s="2">
        <f>-14636</f>
        <v>-14636</v>
      </c>
      <c r="I77" s="2"/>
      <c r="J77" s="19"/>
      <c r="K77" s="2"/>
      <c r="L77" s="2">
        <f t="shared" si="0"/>
        <v>14636</v>
      </c>
      <c r="M77" s="2"/>
      <c r="N77" s="19">
        <f t="shared" si="1"/>
        <v>-1</v>
      </c>
      <c r="O77" s="11"/>
      <c r="P77" s="2">
        <f t="shared" si="14"/>
        <v>0</v>
      </c>
      <c r="Q77" s="2"/>
      <c r="R77" s="19"/>
      <c r="S77" s="2"/>
      <c r="T77" s="2">
        <f>-48285</f>
        <v>-48285</v>
      </c>
      <c r="U77" s="2"/>
      <c r="V77" s="19"/>
      <c r="W77" s="2"/>
      <c r="X77" s="2">
        <f t="shared" si="2"/>
        <v>48285</v>
      </c>
      <c r="Y77" s="2"/>
      <c r="Z77" s="19">
        <f t="shared" si="3"/>
        <v>-1</v>
      </c>
    </row>
    <row r="78" spans="1:26" s="24" customFormat="1" hidden="1" outlineLevel="1" x14ac:dyDescent="0.25">
      <c r="A78" s="44"/>
      <c r="B78" s="11" t="str">
        <f>CONCATENATE("          ", "4283", " - ", "SALES RETURN TAXABLE-COMPUTER")</f>
        <v xml:space="preserve">          4283 - SALES RETURN TAXABLE-COMPUTER</v>
      </c>
      <c r="C78" s="11"/>
      <c r="D78" s="2">
        <f t="shared" si="13"/>
        <v>0</v>
      </c>
      <c r="E78" s="2"/>
      <c r="F78" s="19"/>
      <c r="G78" s="2"/>
      <c r="H78" s="2">
        <f>-483.9</f>
        <v>-483.9</v>
      </c>
      <c r="I78" s="2"/>
      <c r="J78" s="19"/>
      <c r="K78" s="2"/>
      <c r="L78" s="2">
        <f t="shared" si="0"/>
        <v>483.9</v>
      </c>
      <c r="M78" s="2"/>
      <c r="N78" s="19">
        <f t="shared" si="1"/>
        <v>-1</v>
      </c>
      <c r="O78" s="11"/>
      <c r="P78" s="2">
        <f t="shared" si="14"/>
        <v>0</v>
      </c>
      <c r="Q78" s="2"/>
      <c r="R78" s="19"/>
      <c r="S78" s="2"/>
      <c r="T78" s="2">
        <f>-2002.73</f>
        <v>-2002.73</v>
      </c>
      <c r="U78" s="2"/>
      <c r="V78" s="19"/>
      <c r="W78" s="2"/>
      <c r="X78" s="2">
        <f t="shared" si="2"/>
        <v>2002.73</v>
      </c>
      <c r="Y78" s="2"/>
      <c r="Z78" s="19">
        <f t="shared" si="3"/>
        <v>-1</v>
      </c>
    </row>
    <row r="79" spans="1:26" s="24" customFormat="1" hidden="1" outlineLevel="1" x14ac:dyDescent="0.25">
      <c r="A79" s="44"/>
      <c r="B79" s="11" t="str">
        <f>CONCATENATE("          ", "4285", " - ", "SALES RETURN TAXABLE-SOFTWARE")</f>
        <v xml:space="preserve">          4285 - SALES RETURN TAXABLE-SOFTWARE</v>
      </c>
      <c r="C79" s="11"/>
      <c r="D79" s="2">
        <f t="shared" si="13"/>
        <v>0</v>
      </c>
      <c r="E79" s="2"/>
      <c r="F79" s="19"/>
      <c r="G79" s="2"/>
      <c r="H79" s="2">
        <f>-552.98</f>
        <v>-552.98</v>
      </c>
      <c r="I79" s="2"/>
      <c r="J79" s="19"/>
      <c r="K79" s="2"/>
      <c r="L79" s="2">
        <f t="shared" si="0"/>
        <v>552.98</v>
      </c>
      <c r="M79" s="2"/>
      <c r="N79" s="19">
        <f t="shared" si="1"/>
        <v>-1</v>
      </c>
      <c r="O79" s="11"/>
      <c r="P79" s="2">
        <f t="shared" si="14"/>
        <v>0</v>
      </c>
      <c r="Q79" s="2"/>
      <c r="R79" s="19"/>
      <c r="S79" s="2"/>
      <c r="T79" s="2">
        <f>-552.98</f>
        <v>-552.98</v>
      </c>
      <c r="U79" s="2"/>
      <c r="V79" s="19"/>
      <c r="W79" s="2"/>
      <c r="X79" s="2">
        <f t="shared" si="2"/>
        <v>552.98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"4286", " - ", "SALES RETURN TAXABLE-COMPUTER")</f>
        <v xml:space="preserve">          4286 - SALES RETURN TAXABLE-COMPUTER</v>
      </c>
      <c r="C80" s="11"/>
      <c r="D80" s="2">
        <f t="shared" si="13"/>
        <v>0</v>
      </c>
      <c r="E80" s="2"/>
      <c r="F80" s="19"/>
      <c r="G80" s="2"/>
      <c r="H80" s="2">
        <f>-258.44</f>
        <v>-258.44</v>
      </c>
      <c r="I80" s="2"/>
      <c r="J80" s="19"/>
      <c r="K80" s="2"/>
      <c r="L80" s="2">
        <f t="shared" si="0"/>
        <v>258.44</v>
      </c>
      <c r="M80" s="2"/>
      <c r="N80" s="19">
        <f t="shared" si="1"/>
        <v>-1</v>
      </c>
      <c r="O80" s="11"/>
      <c r="P80" s="2">
        <f t="shared" si="14"/>
        <v>0</v>
      </c>
      <c r="Q80" s="2"/>
      <c r="R80" s="19"/>
      <c r="S80" s="2"/>
      <c r="T80" s="2">
        <f>-412.4</f>
        <v>-412.4</v>
      </c>
      <c r="U80" s="2"/>
      <c r="V80" s="19"/>
      <c r="W80" s="2"/>
      <c r="X80" s="2">
        <f t="shared" si="2"/>
        <v>412.4</v>
      </c>
      <c r="Y80" s="2"/>
      <c r="Z80" s="19">
        <f t="shared" si="3"/>
        <v>-1</v>
      </c>
    </row>
    <row r="81" spans="1:26" s="24" customFormat="1" hidden="1" outlineLevel="1" x14ac:dyDescent="0.25">
      <c r="A81" s="44"/>
      <c r="B81" s="11" t="str">
        <f>CONCATENATE("          ", "4300", " - ", "NON-TAX RETURNS")</f>
        <v xml:space="preserve">          4300 - NON-TAX RETURNS</v>
      </c>
      <c r="C81" s="11"/>
      <c r="D81" s="2">
        <f>-2758.55</f>
        <v>-2758.55</v>
      </c>
      <c r="E81" s="2"/>
      <c r="F81" s="19"/>
      <c r="G81" s="2"/>
      <c r="H81" s="2">
        <f>0</f>
        <v>0</v>
      </c>
      <c r="I81" s="2"/>
      <c r="J81" s="19"/>
      <c r="K81" s="2"/>
      <c r="L81" s="2">
        <f t="shared" si="0"/>
        <v>-2758.55</v>
      </c>
      <c r="M81" s="2"/>
      <c r="N81" s="19">
        <f t="shared" si="1"/>
        <v>0</v>
      </c>
      <c r="O81" s="11"/>
      <c r="P81" s="2">
        <f>-20796.04</f>
        <v>-20796.04</v>
      </c>
      <c r="Q81" s="2"/>
      <c r="R81" s="19"/>
      <c r="S81" s="2"/>
      <c r="T81" s="2">
        <f>0</f>
        <v>0</v>
      </c>
      <c r="U81" s="2"/>
      <c r="V81" s="19"/>
      <c r="W81" s="2"/>
      <c r="X81" s="2">
        <f t="shared" si="2"/>
        <v>-20796.04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"4301", " - ", "SALES RETURN NON TAXABLE-NEW T")</f>
        <v xml:space="preserve">          4301 - SALES RETURN NON TAXABLE-NEW T</v>
      </c>
      <c r="C82" s="11"/>
      <c r="D82" s="2">
        <f t="shared" ref="D82:D88" si="15">0</f>
        <v>0</v>
      </c>
      <c r="E82" s="2"/>
      <c r="F82" s="19"/>
      <c r="G82" s="2"/>
      <c r="H82" s="2">
        <f>-1820.43</f>
        <v>-1820.43</v>
      </c>
      <c r="I82" s="2"/>
      <c r="J82" s="19"/>
      <c r="K82" s="2"/>
      <c r="L82" s="2">
        <f t="shared" si="0"/>
        <v>1820.43</v>
      </c>
      <c r="M82" s="2"/>
      <c r="N82" s="19">
        <f t="shared" si="1"/>
        <v>-1</v>
      </c>
      <c r="O82" s="11"/>
      <c r="P82" s="2">
        <f t="shared" ref="P82:P88" si="16">0</f>
        <v>0</v>
      </c>
      <c r="Q82" s="2"/>
      <c r="R82" s="19"/>
      <c r="S82" s="2"/>
      <c r="T82" s="2">
        <f>-1840.68</f>
        <v>-1840.68</v>
      </c>
      <c r="U82" s="2"/>
      <c r="V82" s="19"/>
      <c r="W82" s="2"/>
      <c r="X82" s="2">
        <f t="shared" si="2"/>
        <v>1840.68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"4302", " - ", "SALES RETURN NON TAXABLE-TEXT")</f>
        <v xml:space="preserve">          4302 - SALES RETURN NON TAXABLE-TEXT</v>
      </c>
      <c r="C83" s="11"/>
      <c r="D83" s="2">
        <f t="shared" si="15"/>
        <v>0</v>
      </c>
      <c r="E83" s="2"/>
      <c r="F83" s="19"/>
      <c r="G83" s="2"/>
      <c r="H83" s="2">
        <f>-737.24</f>
        <v>-737.24</v>
      </c>
      <c r="I83" s="2"/>
      <c r="J83" s="19"/>
      <c r="K83" s="2"/>
      <c r="L83" s="2">
        <f t="shared" si="0"/>
        <v>737.24</v>
      </c>
      <c r="M83" s="2"/>
      <c r="N83" s="19">
        <f t="shared" si="1"/>
        <v>-1</v>
      </c>
      <c r="O83" s="11"/>
      <c r="P83" s="2">
        <f t="shared" si="16"/>
        <v>0</v>
      </c>
      <c r="Q83" s="2"/>
      <c r="R83" s="19"/>
      <c r="S83" s="2"/>
      <c r="T83" s="2">
        <f>-1147.08</f>
        <v>-1147.08</v>
      </c>
      <c r="U83" s="2"/>
      <c r="V83" s="19"/>
      <c r="W83" s="2"/>
      <c r="X83" s="2">
        <f t="shared" si="2"/>
        <v>1147.08</v>
      </c>
      <c r="Y83" s="2"/>
      <c r="Z83" s="19">
        <f t="shared" si="3"/>
        <v>-1</v>
      </c>
    </row>
    <row r="84" spans="1:26" s="24" customFormat="1" hidden="1" outlineLevel="1" x14ac:dyDescent="0.25">
      <c r="A84" s="44"/>
      <c r="B84" s="11" t="str">
        <f>CONCATENATE("          ", "4304", " - ", "SALES RETURN NON TAXABLE-DIGIT")</f>
        <v xml:space="preserve">          4304 - SALES RETURN NON TAXABLE-DIGIT</v>
      </c>
      <c r="C84" s="11"/>
      <c r="D84" s="2">
        <f t="shared" si="15"/>
        <v>0</v>
      </c>
      <c r="E84" s="2"/>
      <c r="F84" s="19"/>
      <c r="G84" s="2"/>
      <c r="H84" s="2">
        <f>-7456.63</f>
        <v>-7456.63</v>
      </c>
      <c r="I84" s="2"/>
      <c r="J84" s="19"/>
      <c r="K84" s="2"/>
      <c r="L84" s="2">
        <f t="shared" si="0"/>
        <v>7456.63</v>
      </c>
      <c r="M84" s="2"/>
      <c r="N84" s="19">
        <f t="shared" si="1"/>
        <v>-1</v>
      </c>
      <c r="O84" s="11"/>
      <c r="P84" s="2">
        <f t="shared" si="16"/>
        <v>0</v>
      </c>
      <c r="Q84" s="2"/>
      <c r="R84" s="19"/>
      <c r="S84" s="2"/>
      <c r="T84" s="2">
        <f>-13409.36</f>
        <v>-13409.36</v>
      </c>
      <c r="U84" s="2"/>
      <c r="V84" s="19"/>
      <c r="W84" s="2"/>
      <c r="X84" s="2">
        <f t="shared" si="2"/>
        <v>13409.36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"4340", " - ", "SALES RETURN NON TAXABLE-LOGO")</f>
        <v xml:space="preserve">          4340 - SALES RETURN NON TAXABLE-LOGO</v>
      </c>
      <c r="C85" s="11"/>
      <c r="D85" s="2">
        <f t="shared" si="15"/>
        <v>0</v>
      </c>
      <c r="E85" s="2"/>
      <c r="F85" s="19"/>
      <c r="G85" s="2"/>
      <c r="H85" s="2">
        <f>-36.9</f>
        <v>-36.9</v>
      </c>
      <c r="I85" s="2"/>
      <c r="J85" s="19"/>
      <c r="K85" s="2"/>
      <c r="L85" s="2">
        <f t="shared" si="0"/>
        <v>36.9</v>
      </c>
      <c r="M85" s="2"/>
      <c r="N85" s="19">
        <f t="shared" si="1"/>
        <v>-1</v>
      </c>
      <c r="O85" s="11"/>
      <c r="P85" s="2">
        <f t="shared" si="16"/>
        <v>0</v>
      </c>
      <c r="Q85" s="2"/>
      <c r="R85" s="19"/>
      <c r="S85" s="2"/>
      <c r="T85" s="2">
        <f>-541.04</f>
        <v>-541.04</v>
      </c>
      <c r="U85" s="2"/>
      <c r="V85" s="19"/>
      <c r="W85" s="2"/>
      <c r="X85" s="2">
        <f t="shared" si="2"/>
        <v>541.04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"4341", " - ", "SALES RETURN NON TAXABLE-LOGO")</f>
        <v xml:space="preserve">          4341 - SALES RETURN NON TAXABLE-LOGO</v>
      </c>
      <c r="C86" s="11"/>
      <c r="D86" s="2">
        <f t="shared" si="15"/>
        <v>0</v>
      </c>
      <c r="E86" s="2"/>
      <c r="F86" s="19"/>
      <c r="G86" s="2"/>
      <c r="H86" s="2">
        <f>-129.95</f>
        <v>-129.94999999999999</v>
      </c>
      <c r="I86" s="2"/>
      <c r="J86" s="19"/>
      <c r="K86" s="2"/>
      <c r="L86" s="2">
        <f t="shared" si="0"/>
        <v>129.94999999999999</v>
      </c>
      <c r="M86" s="2"/>
      <c r="N86" s="19">
        <f t="shared" si="1"/>
        <v>-1</v>
      </c>
      <c r="O86" s="11"/>
      <c r="P86" s="2">
        <f t="shared" si="16"/>
        <v>0</v>
      </c>
      <c r="Q86" s="2"/>
      <c r="R86" s="19"/>
      <c r="S86" s="2"/>
      <c r="T86" s="2">
        <f>-146.9</f>
        <v>-146.9</v>
      </c>
      <c r="U86" s="2"/>
      <c r="V86" s="19"/>
      <c r="W86" s="2"/>
      <c r="X86" s="2">
        <f t="shared" si="2"/>
        <v>146.9</v>
      </c>
      <c r="Y86" s="2"/>
      <c r="Z86" s="19">
        <f t="shared" si="3"/>
        <v>-1</v>
      </c>
    </row>
    <row r="87" spans="1:26" s="24" customFormat="1" hidden="1" outlineLevel="1" x14ac:dyDescent="0.25">
      <c r="A87" s="44"/>
      <c r="B87" s="11" t="str">
        <f>CONCATENATE("          ", "4342", " - ", "SALES RETURN NON TAXABLE-EVERY")</f>
        <v xml:space="preserve">          4342 - SALES RETURN NON TAXABLE-EVERY</v>
      </c>
      <c r="C87" s="11"/>
      <c r="D87" s="2">
        <f t="shared" si="15"/>
        <v>0</v>
      </c>
      <c r="E87" s="2"/>
      <c r="F87" s="19"/>
      <c r="G87" s="2"/>
      <c r="H87" s="2">
        <f>-24.95</f>
        <v>-24.95</v>
      </c>
      <c r="I87" s="2"/>
      <c r="J87" s="19"/>
      <c r="K87" s="2"/>
      <c r="L87" s="2">
        <f t="shared" si="0"/>
        <v>24.95</v>
      </c>
      <c r="M87" s="2"/>
      <c r="N87" s="19">
        <f t="shared" si="1"/>
        <v>-1</v>
      </c>
      <c r="O87" s="11"/>
      <c r="P87" s="2">
        <f t="shared" si="16"/>
        <v>0</v>
      </c>
      <c r="Q87" s="2"/>
      <c r="R87" s="19"/>
      <c r="S87" s="2"/>
      <c r="T87" s="2">
        <f>-118.7</f>
        <v>-118.7</v>
      </c>
      <c r="U87" s="2"/>
      <c r="V87" s="19"/>
      <c r="W87" s="2"/>
      <c r="X87" s="2">
        <f t="shared" si="2"/>
        <v>118.7</v>
      </c>
      <c r="Y87" s="2"/>
      <c r="Z87" s="19">
        <f t="shared" si="3"/>
        <v>-1</v>
      </c>
    </row>
    <row r="88" spans="1:26" s="24" customFormat="1" hidden="1" outlineLevel="1" x14ac:dyDescent="0.25">
      <c r="A88" s="44"/>
      <c r="B88" s="11" t="str">
        <f>CONCATENATE("          ", "4381", " - ", "SALES RETURN NON TAXABLE-ELECT")</f>
        <v xml:space="preserve">          4381 - SALES RETURN NON TAXABLE-ELECT</v>
      </c>
      <c r="C88" s="11"/>
      <c r="D88" s="2">
        <f t="shared" si="15"/>
        <v>0</v>
      </c>
      <c r="E88" s="2"/>
      <c r="F88" s="19"/>
      <c r="G88" s="2"/>
      <c r="H88" s="2">
        <f>-249.95</f>
        <v>-249.95</v>
      </c>
      <c r="I88" s="2"/>
      <c r="J88" s="19"/>
      <c r="K88" s="2"/>
      <c r="L88" s="2">
        <f t="shared" si="0"/>
        <v>249.95</v>
      </c>
      <c r="M88" s="2"/>
      <c r="N88" s="19">
        <f t="shared" si="1"/>
        <v>-1</v>
      </c>
      <c r="O88" s="11"/>
      <c r="P88" s="2">
        <f t="shared" si="16"/>
        <v>0</v>
      </c>
      <c r="Q88" s="2"/>
      <c r="R88" s="19"/>
      <c r="S88" s="2"/>
      <c r="T88" s="2">
        <f>-5624.15</f>
        <v>-5624.15</v>
      </c>
      <c r="U88" s="2"/>
      <c r="V88" s="19"/>
      <c r="W88" s="2"/>
      <c r="X88" s="2">
        <f t="shared" si="2"/>
        <v>5624.15</v>
      </c>
      <c r="Y88" s="2"/>
      <c r="Z88" s="19">
        <f t="shared" si="3"/>
        <v>-1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collapsed="1" x14ac:dyDescent="0.25">
      <c r="A90" s="10"/>
      <c r="B90" s="26" t="s">
        <v>256</v>
      </c>
      <c r="C90" s="10"/>
      <c r="D90" s="4">
        <f>SUM(OSRRefD16x_0)</f>
        <v>502570.24000000005</v>
      </c>
      <c r="E90" s="4"/>
      <c r="F90" s="12">
        <f t="shared" ref="F90:F132" si="17">IF(D$12=0,0,D90/D$12)</f>
        <v>0.66187523676841153</v>
      </c>
      <c r="G90" s="4"/>
      <c r="H90" s="4">
        <f>SUM(OSRRefH16x_0)</f>
        <v>493273.1</v>
      </c>
      <c r="I90" s="4"/>
      <c r="J90" s="12">
        <f t="shared" ref="J90:J132" si="18">IF(H$12=0,0,H90/H$12)</f>
        <v>0.7795192731835594</v>
      </c>
      <c r="K90" s="4"/>
      <c r="L90" s="4">
        <f t="shared" ref="L90:L132" si="19">+D90-H90</f>
        <v>9297.1400000000722</v>
      </c>
      <c r="M90" s="4"/>
      <c r="N90" s="12">
        <f t="shared" ref="N90:N132" si="20">IF(H90=0,0,L90/H90)</f>
        <v>1.8847855275303017E-2</v>
      </c>
      <c r="O90" s="10"/>
      <c r="P90" s="4">
        <f>SUM(OSRRefP16x_0)</f>
        <v>1996494.2499999998</v>
      </c>
      <c r="Q90" s="4"/>
      <c r="R90" s="12">
        <f t="shared" ref="R90:R132" si="21">IF(P$12=0,0,P90/P$12)</f>
        <v>0.68109860371518471</v>
      </c>
      <c r="S90" s="4"/>
      <c r="T90" s="4">
        <f>SUM(OSRRefT16x_0)</f>
        <v>2378511.4299999997</v>
      </c>
      <c r="U90" s="4"/>
      <c r="V90" s="12">
        <f t="shared" ref="V90:V132" si="22">IF(T$12=0,0,T90/T$12)</f>
        <v>0.75336437578735482</v>
      </c>
      <c r="W90" s="4"/>
      <c r="X90" s="4">
        <f t="shared" ref="X90:X132" si="23">+P90-T90</f>
        <v>-382017.17999999993</v>
      </c>
      <c r="Y90" s="4"/>
      <c r="Z90" s="12">
        <f t="shared" ref="Z90:Z132" si="24">IF(T90=0,0,X90/T90)</f>
        <v>-0.16061187479767544</v>
      </c>
    </row>
    <row r="91" spans="1:26" s="24" customFormat="1" hidden="1" outlineLevel="1" x14ac:dyDescent="0.25">
      <c r="A91" s="44"/>
      <c r="B91" s="11" t="str">
        <f>CONCATENATE("          ", "5000", " - ", "PURCHASES @ COST")</f>
        <v xml:space="preserve">          5000 - PURCHASES @ COST</v>
      </c>
      <c r="C91" s="11"/>
      <c r="D91" s="2">
        <v>895370.31</v>
      </c>
      <c r="E91" s="2"/>
      <c r="F91" s="19">
        <f t="shared" si="17"/>
        <v>1.1791852934361096</v>
      </c>
      <c r="G91" s="2"/>
      <c r="H91" s="2">
        <v>0</v>
      </c>
      <c r="I91" s="2"/>
      <c r="J91" s="19">
        <f t="shared" si="18"/>
        <v>0</v>
      </c>
      <c r="K91" s="2"/>
      <c r="L91" s="2">
        <f t="shared" si="19"/>
        <v>895370.31</v>
      </c>
      <c r="M91" s="2"/>
      <c r="N91" s="19">
        <f t="shared" si="20"/>
        <v>0</v>
      </c>
      <c r="O91" s="11"/>
      <c r="P91" s="2">
        <v>2123460.8199999998</v>
      </c>
      <c r="Q91" s="2"/>
      <c r="R91" s="19">
        <f t="shared" si="21"/>
        <v>0.72441290504387934</v>
      </c>
      <c r="S91" s="2"/>
      <c r="T91" s="2">
        <v>0</v>
      </c>
      <c r="U91" s="2"/>
      <c r="V91" s="19">
        <f t="shared" si="22"/>
        <v>0</v>
      </c>
      <c r="W91" s="2"/>
      <c r="X91" s="2">
        <f t="shared" si="23"/>
        <v>2123460.8199999998</v>
      </c>
      <c r="Y91" s="2"/>
      <c r="Z91" s="19">
        <f t="shared" si="24"/>
        <v>0</v>
      </c>
    </row>
    <row r="92" spans="1:26" s="24" customFormat="1" hidden="1" outlineLevel="1" x14ac:dyDescent="0.25">
      <c r="A92" s="44"/>
      <c r="B92" s="11" t="str">
        <f>CONCATENATE("          ", "5001", " - ", "PURCHASES @ COST-NEW TEXT")</f>
        <v xml:space="preserve">          5001 - PURCHASES @ COST-NEW TEXT</v>
      </c>
      <c r="C92" s="11"/>
      <c r="D92" s="2">
        <v>0</v>
      </c>
      <c r="E92" s="2"/>
      <c r="F92" s="19">
        <f t="shared" si="17"/>
        <v>0</v>
      </c>
      <c r="G92" s="2"/>
      <c r="H92" s="2">
        <v>602088.99</v>
      </c>
      <c r="I92" s="2"/>
      <c r="J92" s="19">
        <f t="shared" si="18"/>
        <v>0.95148097854236002</v>
      </c>
      <c r="K92" s="2"/>
      <c r="L92" s="2">
        <f t="shared" si="19"/>
        <v>-602088.99</v>
      </c>
      <c r="M92" s="2"/>
      <c r="N92" s="19">
        <f t="shared" si="20"/>
        <v>-1</v>
      </c>
      <c r="O92" s="11"/>
      <c r="P92" s="2">
        <v>0</v>
      </c>
      <c r="Q92" s="2"/>
      <c r="R92" s="19">
        <f t="shared" si="21"/>
        <v>0</v>
      </c>
      <c r="S92" s="2"/>
      <c r="T92" s="2">
        <v>1293421.76</v>
      </c>
      <c r="U92" s="2"/>
      <c r="V92" s="19">
        <f t="shared" si="22"/>
        <v>0.40967550736225888</v>
      </c>
      <c r="W92" s="2"/>
      <c r="X92" s="2">
        <f t="shared" si="23"/>
        <v>-1293421.76</v>
      </c>
      <c r="Y92" s="2"/>
      <c r="Z92" s="19">
        <f t="shared" si="24"/>
        <v>-1</v>
      </c>
    </row>
    <row r="93" spans="1:26" s="24" customFormat="1" hidden="1" outlineLevel="1" x14ac:dyDescent="0.25">
      <c r="A93" s="44"/>
      <c r="B93" s="11" t="str">
        <f>CONCATENATE("          ", "5002", " - ", "PURCHASES @ COST-USED TEXT")</f>
        <v xml:space="preserve">          5002 - PURCHASES @ COST-USED TEXT</v>
      </c>
      <c r="C93" s="11"/>
      <c r="D93" s="2">
        <v>0</v>
      </c>
      <c r="E93" s="2"/>
      <c r="F93" s="19">
        <f t="shared" si="17"/>
        <v>0</v>
      </c>
      <c r="G93" s="2"/>
      <c r="H93" s="2">
        <v>108363.86</v>
      </c>
      <c r="I93" s="2"/>
      <c r="J93" s="19">
        <f t="shared" si="18"/>
        <v>0.17124736253926071</v>
      </c>
      <c r="K93" s="2"/>
      <c r="L93" s="2">
        <f t="shared" si="19"/>
        <v>-108363.86</v>
      </c>
      <c r="M93" s="2"/>
      <c r="N93" s="19">
        <f t="shared" si="20"/>
        <v>-1</v>
      </c>
      <c r="O93" s="11"/>
      <c r="P93" s="2">
        <v>0</v>
      </c>
      <c r="Q93" s="2"/>
      <c r="R93" s="19">
        <f t="shared" si="21"/>
        <v>0</v>
      </c>
      <c r="S93" s="2"/>
      <c r="T93" s="2">
        <v>296731.38</v>
      </c>
      <c r="U93" s="2"/>
      <c r="V93" s="19">
        <f t="shared" si="22"/>
        <v>9.3986031788890922E-2</v>
      </c>
      <c r="W93" s="2"/>
      <c r="X93" s="2">
        <f t="shared" si="23"/>
        <v>-296731.38</v>
      </c>
      <c r="Y93" s="2"/>
      <c r="Z93" s="19">
        <f t="shared" si="24"/>
        <v>-1</v>
      </c>
    </row>
    <row r="94" spans="1:26" s="24" customFormat="1" hidden="1" outlineLevel="1" x14ac:dyDescent="0.25">
      <c r="A94" s="44"/>
      <c r="B94" s="11" t="str">
        <f>CONCATENATE("          ", "5003", " - ", "PURCHASES @ COST-RENTAL TEXT")</f>
        <v xml:space="preserve">          5003 - PURCHASES @ COST-RENTAL TEXT</v>
      </c>
      <c r="C94" s="11"/>
      <c r="D94" s="2"/>
      <c r="E94" s="2"/>
      <c r="F94" s="19">
        <f t="shared" si="17"/>
        <v>0</v>
      </c>
      <c r="G94" s="2"/>
      <c r="H94" s="2">
        <v>781.74</v>
      </c>
      <c r="I94" s="2"/>
      <c r="J94" s="19">
        <f t="shared" si="18"/>
        <v>1.2353833943479094E-3</v>
      </c>
      <c r="K94" s="2"/>
      <c r="L94" s="2">
        <f t="shared" si="19"/>
        <v>-781.74</v>
      </c>
      <c r="M94" s="2"/>
      <c r="N94" s="19">
        <f t="shared" si="20"/>
        <v>-1</v>
      </c>
      <c r="O94" s="11"/>
      <c r="P94" s="2"/>
      <c r="Q94" s="2"/>
      <c r="R94" s="19">
        <f t="shared" si="21"/>
        <v>0</v>
      </c>
      <c r="S94" s="2"/>
      <c r="T94" s="2">
        <v>-11086.1</v>
      </c>
      <c r="U94" s="2"/>
      <c r="V94" s="19">
        <f t="shared" si="22"/>
        <v>-3.5113864499764858E-3</v>
      </c>
      <c r="W94" s="2"/>
      <c r="X94" s="2">
        <f t="shared" si="23"/>
        <v>11086.1</v>
      </c>
      <c r="Y94" s="2"/>
      <c r="Z94" s="19">
        <f t="shared" si="24"/>
        <v>-1</v>
      </c>
    </row>
    <row r="95" spans="1:26" s="24" customFormat="1" hidden="1" outlineLevel="1" x14ac:dyDescent="0.25">
      <c r="A95" s="44"/>
      <c r="B95" s="11" t="str">
        <f>CONCATENATE("          ", "5004", " - ", "PURCHASES @ COST-DIGITAL TEXT")</f>
        <v xml:space="preserve">          5004 - PURCHASES @ COST-DIGITAL TEXT</v>
      </c>
      <c r="C95" s="11"/>
      <c r="D95" s="2">
        <v>0</v>
      </c>
      <c r="E95" s="2"/>
      <c r="F95" s="19">
        <f t="shared" si="17"/>
        <v>0</v>
      </c>
      <c r="G95" s="2"/>
      <c r="H95" s="2">
        <v>60186.1</v>
      </c>
      <c r="I95" s="2"/>
      <c r="J95" s="19">
        <f t="shared" si="18"/>
        <v>9.5112068604091785E-2</v>
      </c>
      <c r="K95" s="2"/>
      <c r="L95" s="2">
        <f t="shared" si="19"/>
        <v>-60186.1</v>
      </c>
      <c r="M95" s="2"/>
      <c r="N95" s="19">
        <f t="shared" si="20"/>
        <v>-1</v>
      </c>
      <c r="O95" s="11"/>
      <c r="P95" s="2">
        <v>0</v>
      </c>
      <c r="Q95" s="2"/>
      <c r="R95" s="19">
        <f t="shared" si="21"/>
        <v>0</v>
      </c>
      <c r="S95" s="2"/>
      <c r="T95" s="2">
        <v>182616.07</v>
      </c>
      <c r="U95" s="2"/>
      <c r="V95" s="19">
        <f t="shared" si="22"/>
        <v>5.7841404438527297E-2</v>
      </c>
      <c r="W95" s="2"/>
      <c r="X95" s="2">
        <f t="shared" si="23"/>
        <v>-182616.07</v>
      </c>
      <c r="Y95" s="2"/>
      <c r="Z95" s="19">
        <f t="shared" si="24"/>
        <v>-1</v>
      </c>
    </row>
    <row r="96" spans="1:26" s="24" customFormat="1" hidden="1" outlineLevel="1" x14ac:dyDescent="0.25">
      <c r="A96" s="44"/>
      <c r="B96" s="11" t="str">
        <f>CONCATENATE("          ", "5013", " - ", "PURCHASES @ COST-TRADE BOOKS")</f>
        <v xml:space="preserve">          5013 - PURCHASES @ COST-TRADE BOOKS</v>
      </c>
      <c r="C96" s="11"/>
      <c r="D96" s="2"/>
      <c r="E96" s="2"/>
      <c r="F96" s="19">
        <f t="shared" si="17"/>
        <v>0</v>
      </c>
      <c r="G96" s="2"/>
      <c r="H96" s="2">
        <v>-9.36</v>
      </c>
      <c r="I96" s="2"/>
      <c r="J96" s="19">
        <f t="shared" si="18"/>
        <v>-1.4791604076926385E-5</v>
      </c>
      <c r="K96" s="2"/>
      <c r="L96" s="2">
        <f t="shared" si="19"/>
        <v>9.36</v>
      </c>
      <c r="M96" s="2"/>
      <c r="N96" s="19">
        <f t="shared" si="20"/>
        <v>-1</v>
      </c>
      <c r="O96" s="11"/>
      <c r="P96" s="2"/>
      <c r="Q96" s="2"/>
      <c r="R96" s="19">
        <f t="shared" si="21"/>
        <v>0</v>
      </c>
      <c r="S96" s="2"/>
      <c r="T96" s="2">
        <v>99.18</v>
      </c>
      <c r="U96" s="2"/>
      <c r="V96" s="19">
        <f t="shared" si="22"/>
        <v>3.1414050758036447E-5</v>
      </c>
      <c r="W96" s="2"/>
      <c r="X96" s="2">
        <f t="shared" si="23"/>
        <v>-99.18</v>
      </c>
      <c r="Y96" s="2"/>
      <c r="Z96" s="19">
        <f t="shared" si="24"/>
        <v>-1</v>
      </c>
    </row>
    <row r="97" spans="1:26" s="24" customFormat="1" hidden="1" outlineLevel="1" x14ac:dyDescent="0.25">
      <c r="A97" s="44"/>
      <c r="B97" s="11" t="str">
        <f>CONCATENATE("          ", "5014", " - ", "PURCHASES @ COST-REMAINDERS")</f>
        <v xml:space="preserve">          5014 - PURCHASES @ COST-REMAINDERS</v>
      </c>
      <c r="C97" s="11"/>
      <c r="D97" s="2"/>
      <c r="E97" s="2"/>
      <c r="F97" s="19">
        <f t="shared" si="17"/>
        <v>0</v>
      </c>
      <c r="G97" s="2"/>
      <c r="H97" s="2"/>
      <c r="I97" s="2"/>
      <c r="J97" s="19">
        <f t="shared" si="18"/>
        <v>0</v>
      </c>
      <c r="K97" s="2"/>
      <c r="L97" s="2">
        <f t="shared" si="19"/>
        <v>0</v>
      </c>
      <c r="M97" s="2"/>
      <c r="N97" s="19">
        <f t="shared" si="20"/>
        <v>0</v>
      </c>
      <c r="O97" s="11"/>
      <c r="P97" s="2"/>
      <c r="Q97" s="2"/>
      <c r="R97" s="19">
        <f t="shared" si="21"/>
        <v>0</v>
      </c>
      <c r="S97" s="2"/>
      <c r="T97" s="2">
        <v>-12.51</v>
      </c>
      <c r="U97" s="2"/>
      <c r="V97" s="19">
        <f t="shared" si="22"/>
        <v>-3.962389342438354E-6</v>
      </c>
      <c r="W97" s="2"/>
      <c r="X97" s="2">
        <f t="shared" si="23"/>
        <v>12.51</v>
      </c>
      <c r="Y97" s="2"/>
      <c r="Z97" s="19">
        <f t="shared" si="24"/>
        <v>-1</v>
      </c>
    </row>
    <row r="98" spans="1:26" s="24" customFormat="1" hidden="1" outlineLevel="1" x14ac:dyDescent="0.25">
      <c r="A98" s="44"/>
      <c r="B98" s="11" t="str">
        <f>CONCATENATE("          ", "5026", " - ", "PURCHASES @ COST-WRITING INSTR")</f>
        <v xml:space="preserve">          5026 - PURCHASES @ COST-WRITING INSTR</v>
      </c>
      <c r="C98" s="11"/>
      <c r="D98" s="2"/>
      <c r="E98" s="2"/>
      <c r="F98" s="19">
        <f t="shared" si="17"/>
        <v>0</v>
      </c>
      <c r="G98" s="2"/>
      <c r="H98" s="2"/>
      <c r="I98" s="2"/>
      <c r="J98" s="19">
        <f t="shared" si="18"/>
        <v>0</v>
      </c>
      <c r="K98" s="2"/>
      <c r="L98" s="2">
        <f t="shared" si="19"/>
        <v>0</v>
      </c>
      <c r="M98" s="2"/>
      <c r="N98" s="19">
        <f t="shared" si="20"/>
        <v>0</v>
      </c>
      <c r="O98" s="11"/>
      <c r="P98" s="2">
        <v>0</v>
      </c>
      <c r="Q98" s="2"/>
      <c r="R98" s="19">
        <f t="shared" si="21"/>
        <v>0</v>
      </c>
      <c r="S98" s="2"/>
      <c r="T98" s="2"/>
      <c r="U98" s="2"/>
      <c r="V98" s="19">
        <f t="shared" si="22"/>
        <v>0</v>
      </c>
      <c r="W98" s="2"/>
      <c r="X98" s="2">
        <f t="shared" si="23"/>
        <v>0</v>
      </c>
      <c r="Y98" s="2"/>
      <c r="Z98" s="19">
        <f t="shared" si="24"/>
        <v>0</v>
      </c>
    </row>
    <row r="99" spans="1:26" s="24" customFormat="1" hidden="1" outlineLevel="1" x14ac:dyDescent="0.25">
      <c r="A99" s="44"/>
      <c r="B99" s="11" t="str">
        <f>CONCATENATE("          ", "5027", " - ", "PURCHASES @ COST-SCHOOL SUPPLI")</f>
        <v xml:space="preserve">          5027 - PURCHASES @ COST-SCHOOL SUPPLI</v>
      </c>
      <c r="C99" s="11"/>
      <c r="D99" s="2">
        <v>0</v>
      </c>
      <c r="E99" s="2"/>
      <c r="F99" s="19">
        <f t="shared" si="17"/>
        <v>0</v>
      </c>
      <c r="G99" s="2"/>
      <c r="H99" s="2"/>
      <c r="I99" s="2"/>
      <c r="J99" s="19">
        <f t="shared" si="18"/>
        <v>0</v>
      </c>
      <c r="K99" s="2"/>
      <c r="L99" s="2">
        <f t="shared" si="19"/>
        <v>0</v>
      </c>
      <c r="M99" s="2"/>
      <c r="N99" s="19">
        <f t="shared" si="20"/>
        <v>0</v>
      </c>
      <c r="O99" s="11"/>
      <c r="P99" s="2">
        <v>0</v>
      </c>
      <c r="Q99" s="2"/>
      <c r="R99" s="19">
        <f t="shared" si="21"/>
        <v>0</v>
      </c>
      <c r="S99" s="2"/>
      <c r="T99" s="2">
        <v>8503.4</v>
      </c>
      <c r="U99" s="2"/>
      <c r="V99" s="19">
        <f t="shared" si="22"/>
        <v>2.6933478444836371E-3</v>
      </c>
      <c r="W99" s="2"/>
      <c r="X99" s="2">
        <f t="shared" si="23"/>
        <v>-8503.4</v>
      </c>
      <c r="Y99" s="2"/>
      <c r="Z99" s="19">
        <f t="shared" si="24"/>
        <v>-1</v>
      </c>
    </row>
    <row r="100" spans="1:26" s="24" customFormat="1" hidden="1" outlineLevel="1" x14ac:dyDescent="0.25">
      <c r="A100" s="44"/>
      <c r="B100" s="11" t="str">
        <f>CONCATENATE("          ", "5028", " - ", "PURCHASES @ COST-ART/TECH")</f>
        <v xml:space="preserve">          5028 - PURCHASES @ COST-ART/TECH</v>
      </c>
      <c r="C100" s="11"/>
      <c r="D100" s="2">
        <v>0</v>
      </c>
      <c r="E100" s="2"/>
      <c r="F100" s="19">
        <f t="shared" si="17"/>
        <v>0</v>
      </c>
      <c r="G100" s="2"/>
      <c r="H100" s="2">
        <v>-83.4</v>
      </c>
      <c r="I100" s="2"/>
      <c r="J100" s="19">
        <f t="shared" si="18"/>
        <v>-1.3179698504440818E-4</v>
      </c>
      <c r="K100" s="2"/>
      <c r="L100" s="2">
        <f t="shared" si="19"/>
        <v>83.4</v>
      </c>
      <c r="M100" s="2"/>
      <c r="N100" s="19">
        <f t="shared" si="20"/>
        <v>-1</v>
      </c>
      <c r="O100" s="11"/>
      <c r="P100" s="2">
        <v>0</v>
      </c>
      <c r="Q100" s="2"/>
      <c r="R100" s="19">
        <f t="shared" si="21"/>
        <v>0</v>
      </c>
      <c r="S100" s="2"/>
      <c r="T100" s="2">
        <v>-83.4</v>
      </c>
      <c r="U100" s="2"/>
      <c r="V100" s="19">
        <f t="shared" si="22"/>
        <v>-2.6415928949589029E-5</v>
      </c>
      <c r="W100" s="2"/>
      <c r="X100" s="2">
        <f t="shared" si="23"/>
        <v>83.4</v>
      </c>
      <c r="Y100" s="2"/>
      <c r="Z100" s="19">
        <f t="shared" si="24"/>
        <v>-1</v>
      </c>
    </row>
    <row r="101" spans="1:26" s="24" customFormat="1" hidden="1" outlineLevel="1" x14ac:dyDescent="0.25">
      <c r="A101" s="44"/>
      <c r="B101" s="11" t="str">
        <f>CONCATENATE("          ", "5031", " - ", "PURCHASES @ COST-FOOD")</f>
        <v xml:space="preserve">          5031 - PURCHASES @ COST-FOOD</v>
      </c>
      <c r="C101" s="11"/>
      <c r="D101" s="2">
        <v>0</v>
      </c>
      <c r="E101" s="2"/>
      <c r="F101" s="19">
        <f t="shared" si="17"/>
        <v>0</v>
      </c>
      <c r="G101" s="2"/>
      <c r="H101" s="2">
        <v>4065.92</v>
      </c>
      <c r="I101" s="2"/>
      <c r="J101" s="19">
        <f t="shared" si="18"/>
        <v>6.4253716718436467E-3</v>
      </c>
      <c r="K101" s="2"/>
      <c r="L101" s="2">
        <f t="shared" si="19"/>
        <v>-4065.92</v>
      </c>
      <c r="M101" s="2"/>
      <c r="N101" s="19">
        <f t="shared" si="20"/>
        <v>-1</v>
      </c>
      <c r="O101" s="11"/>
      <c r="P101" s="2">
        <v>0</v>
      </c>
      <c r="Q101" s="2"/>
      <c r="R101" s="19">
        <f t="shared" si="21"/>
        <v>0</v>
      </c>
      <c r="S101" s="2"/>
      <c r="T101" s="2">
        <v>4065.92</v>
      </c>
      <c r="U101" s="2"/>
      <c r="V101" s="19">
        <f t="shared" si="22"/>
        <v>1.2878303817111874E-3</v>
      </c>
      <c r="W101" s="2"/>
      <c r="X101" s="2">
        <f t="shared" si="23"/>
        <v>-4065.92</v>
      </c>
      <c r="Y101" s="2"/>
      <c r="Z101" s="19">
        <f t="shared" si="24"/>
        <v>-1</v>
      </c>
    </row>
    <row r="102" spans="1:26" s="24" customFormat="1" hidden="1" outlineLevel="1" x14ac:dyDescent="0.25">
      <c r="A102" s="44"/>
      <c r="B102" s="11" t="str">
        <f>CONCATENATE("          ", "5040", " - ", "PURCHASES @ COST-LOGO CLOTHING")</f>
        <v xml:space="preserve">          5040 - PURCHASES @ COST-LOGO CLOTHING</v>
      </c>
      <c r="C102" s="11"/>
      <c r="D102" s="2">
        <v>0</v>
      </c>
      <c r="E102" s="2"/>
      <c r="F102" s="19">
        <f t="shared" si="17"/>
        <v>0</v>
      </c>
      <c r="G102" s="2"/>
      <c r="H102" s="2">
        <v>4398.1499999999996</v>
      </c>
      <c r="I102" s="2"/>
      <c r="J102" s="19">
        <f t="shared" si="18"/>
        <v>6.9503946015954891E-3</v>
      </c>
      <c r="K102" s="2"/>
      <c r="L102" s="2">
        <f t="shared" si="19"/>
        <v>-4398.1499999999996</v>
      </c>
      <c r="M102" s="2"/>
      <c r="N102" s="19">
        <f t="shared" si="20"/>
        <v>-1</v>
      </c>
      <c r="O102" s="11"/>
      <c r="P102" s="2">
        <v>0</v>
      </c>
      <c r="Q102" s="2"/>
      <c r="R102" s="19">
        <f t="shared" si="21"/>
        <v>0</v>
      </c>
      <c r="S102" s="2"/>
      <c r="T102" s="2">
        <v>13750.05</v>
      </c>
      <c r="U102" s="2"/>
      <c r="V102" s="19">
        <f t="shared" si="22"/>
        <v>4.3551599982409664E-3</v>
      </c>
      <c r="W102" s="2"/>
      <c r="X102" s="2">
        <f t="shared" si="23"/>
        <v>-13750.05</v>
      </c>
      <c r="Y102" s="2"/>
      <c r="Z102" s="19">
        <f t="shared" si="24"/>
        <v>-1</v>
      </c>
    </row>
    <row r="103" spans="1:26" s="24" customFormat="1" hidden="1" outlineLevel="1" x14ac:dyDescent="0.25">
      <c r="A103" s="44"/>
      <c r="B103" s="11" t="str">
        <f>CONCATENATE("          ", "5041", " - ", "PURCHASES @ COST-LOGO GIFTS")</f>
        <v xml:space="preserve">          5041 - PURCHASES @ COST-LOGO GIFTS</v>
      </c>
      <c r="C103" s="11"/>
      <c r="D103" s="2">
        <v>0</v>
      </c>
      <c r="E103" s="2"/>
      <c r="F103" s="19">
        <f t="shared" si="17"/>
        <v>0</v>
      </c>
      <c r="G103" s="2"/>
      <c r="H103" s="2">
        <v>868</v>
      </c>
      <c r="I103" s="2"/>
      <c r="J103" s="19">
        <f t="shared" si="18"/>
        <v>1.3717000361936006E-3</v>
      </c>
      <c r="K103" s="2"/>
      <c r="L103" s="2">
        <f t="shared" si="19"/>
        <v>-868</v>
      </c>
      <c r="M103" s="2"/>
      <c r="N103" s="19">
        <f t="shared" si="20"/>
        <v>-1</v>
      </c>
      <c r="O103" s="11"/>
      <c r="P103" s="2">
        <v>0</v>
      </c>
      <c r="Q103" s="2"/>
      <c r="R103" s="19">
        <f t="shared" si="21"/>
        <v>0</v>
      </c>
      <c r="S103" s="2"/>
      <c r="T103" s="2">
        <v>1997.54</v>
      </c>
      <c r="U103" s="2"/>
      <c r="V103" s="19">
        <f t="shared" si="22"/>
        <v>6.3269633949594804E-4</v>
      </c>
      <c r="W103" s="2"/>
      <c r="X103" s="2">
        <f t="shared" si="23"/>
        <v>-1997.54</v>
      </c>
      <c r="Y103" s="2"/>
      <c r="Z103" s="19">
        <f t="shared" si="24"/>
        <v>-1</v>
      </c>
    </row>
    <row r="104" spans="1:26" s="24" customFormat="1" hidden="1" outlineLevel="1" x14ac:dyDescent="0.25">
      <c r="A104" s="44"/>
      <c r="B104" s="11" t="str">
        <f>CONCATENATE("          ", "5042", " - ", "PURCHASES @ COST-EVERYDAY GIFT")</f>
        <v xml:space="preserve">          5042 - PURCHASES @ COST-EVERYDAY GIFT</v>
      </c>
      <c r="C104" s="11"/>
      <c r="D104" s="2"/>
      <c r="E104" s="2"/>
      <c r="F104" s="19">
        <f t="shared" si="17"/>
        <v>0</v>
      </c>
      <c r="G104" s="2"/>
      <c r="H104" s="2">
        <v>522</v>
      </c>
      <c r="I104" s="2"/>
      <c r="J104" s="19">
        <f t="shared" si="18"/>
        <v>8.2491638121320226E-4</v>
      </c>
      <c r="K104" s="2"/>
      <c r="L104" s="2">
        <f t="shared" si="19"/>
        <v>-522</v>
      </c>
      <c r="M104" s="2"/>
      <c r="N104" s="19">
        <f t="shared" si="20"/>
        <v>-1</v>
      </c>
      <c r="O104" s="11"/>
      <c r="P104" s="2">
        <v>0</v>
      </c>
      <c r="Q104" s="2"/>
      <c r="R104" s="19">
        <f t="shared" si="21"/>
        <v>0</v>
      </c>
      <c r="S104" s="2"/>
      <c r="T104" s="2">
        <v>1491.15</v>
      </c>
      <c r="U104" s="2"/>
      <c r="V104" s="19">
        <f t="shared" si="22"/>
        <v>4.7230350663284991E-4</v>
      </c>
      <c r="W104" s="2"/>
      <c r="X104" s="2">
        <f t="shared" si="23"/>
        <v>-1491.15</v>
      </c>
      <c r="Y104" s="2"/>
      <c r="Z104" s="19">
        <f t="shared" si="24"/>
        <v>-1</v>
      </c>
    </row>
    <row r="105" spans="1:26" s="24" customFormat="1" hidden="1" outlineLevel="1" x14ac:dyDescent="0.25">
      <c r="A105" s="44"/>
      <c r="B105" s="11" t="str">
        <f>CONCATENATE("          ", "5043", " - ", "PURCHASES @ COST-CARDS")</f>
        <v xml:space="preserve">          5043 - PURCHASES @ COST-CARDS</v>
      </c>
      <c r="C105" s="11"/>
      <c r="D105" s="2"/>
      <c r="E105" s="2"/>
      <c r="F105" s="19">
        <f t="shared" si="17"/>
        <v>0</v>
      </c>
      <c r="G105" s="2"/>
      <c r="H105" s="2">
        <v>1401</v>
      </c>
      <c r="I105" s="2"/>
      <c r="J105" s="19">
        <f t="shared" si="18"/>
        <v>2.2139997127963531E-3</v>
      </c>
      <c r="K105" s="2"/>
      <c r="L105" s="2">
        <f t="shared" si="19"/>
        <v>-1401</v>
      </c>
      <c r="M105" s="2"/>
      <c r="N105" s="19">
        <f t="shared" si="20"/>
        <v>-1</v>
      </c>
      <c r="O105" s="11"/>
      <c r="P105" s="2">
        <v>0</v>
      </c>
      <c r="Q105" s="2"/>
      <c r="R105" s="19">
        <f t="shared" si="21"/>
        <v>0</v>
      </c>
      <c r="S105" s="2"/>
      <c r="T105" s="2">
        <v>3116.25</v>
      </c>
      <c r="U105" s="2"/>
      <c r="V105" s="19">
        <f t="shared" si="22"/>
        <v>9.8703403584120882E-4</v>
      </c>
      <c r="W105" s="2"/>
      <c r="X105" s="2">
        <f t="shared" si="23"/>
        <v>-3116.25</v>
      </c>
      <c r="Y105" s="2"/>
      <c r="Z105" s="19">
        <f t="shared" si="24"/>
        <v>-1</v>
      </c>
    </row>
    <row r="106" spans="1:26" s="24" customFormat="1" hidden="1" outlineLevel="1" x14ac:dyDescent="0.25">
      <c r="A106" s="44"/>
      <c r="B106" s="11" t="str">
        <f>CONCATENATE("          ", "5044", " - ", "PURCHASES @ COST-ACCESSORIES")</f>
        <v xml:space="preserve">          5044 - PURCHASES @ COST-ACCESSORIES</v>
      </c>
      <c r="C106" s="11"/>
      <c r="D106" s="2"/>
      <c r="E106" s="2"/>
      <c r="F106" s="19">
        <f t="shared" si="17"/>
        <v>0</v>
      </c>
      <c r="G106" s="2"/>
      <c r="H106" s="2"/>
      <c r="I106" s="2"/>
      <c r="J106" s="19">
        <f t="shared" si="18"/>
        <v>0</v>
      </c>
      <c r="K106" s="2"/>
      <c r="L106" s="2">
        <f t="shared" si="19"/>
        <v>0</v>
      </c>
      <c r="M106" s="2"/>
      <c r="N106" s="19">
        <f t="shared" si="20"/>
        <v>0</v>
      </c>
      <c r="O106" s="11"/>
      <c r="P106" s="2">
        <v>0</v>
      </c>
      <c r="Q106" s="2"/>
      <c r="R106" s="19">
        <f t="shared" si="21"/>
        <v>0</v>
      </c>
      <c r="S106" s="2"/>
      <c r="T106" s="2"/>
      <c r="U106" s="2"/>
      <c r="V106" s="19">
        <f t="shared" si="22"/>
        <v>0</v>
      </c>
      <c r="W106" s="2"/>
      <c r="X106" s="2">
        <f t="shared" si="23"/>
        <v>0</v>
      </c>
      <c r="Y106" s="2"/>
      <c r="Z106" s="19">
        <f t="shared" si="24"/>
        <v>0</v>
      </c>
    </row>
    <row r="107" spans="1:26" s="24" customFormat="1" hidden="1" outlineLevel="1" x14ac:dyDescent="0.25">
      <c r="A107" s="44"/>
      <c r="B107" s="11" t="str">
        <f>CONCATENATE("          ", "5045", " - ", "PURCHASES @ COST-SPECIAL ORDER")</f>
        <v xml:space="preserve">          5045 - PURCHASES @ COST-SPECIAL ORDER</v>
      </c>
      <c r="C107" s="11"/>
      <c r="D107" s="2">
        <v>0</v>
      </c>
      <c r="E107" s="2"/>
      <c r="F107" s="19">
        <f t="shared" si="17"/>
        <v>0</v>
      </c>
      <c r="G107" s="2"/>
      <c r="H107" s="2">
        <v>52784.12</v>
      </c>
      <c r="I107" s="2"/>
      <c r="J107" s="19">
        <f t="shared" si="18"/>
        <v>8.3414722712496961E-2</v>
      </c>
      <c r="K107" s="2"/>
      <c r="L107" s="2">
        <f t="shared" si="19"/>
        <v>-52784.12</v>
      </c>
      <c r="M107" s="2"/>
      <c r="N107" s="19">
        <f t="shared" si="20"/>
        <v>-1</v>
      </c>
      <c r="O107" s="11"/>
      <c r="P107" s="2">
        <v>0</v>
      </c>
      <c r="Q107" s="2"/>
      <c r="R107" s="19">
        <f t="shared" si="21"/>
        <v>0</v>
      </c>
      <c r="S107" s="2"/>
      <c r="T107" s="2">
        <v>61174.29</v>
      </c>
      <c r="U107" s="2"/>
      <c r="V107" s="19">
        <f t="shared" si="22"/>
        <v>1.9376207412248856E-2</v>
      </c>
      <c r="W107" s="2"/>
      <c r="X107" s="2">
        <f t="shared" si="23"/>
        <v>-61174.29</v>
      </c>
      <c r="Y107" s="2"/>
      <c r="Z107" s="19">
        <f t="shared" si="24"/>
        <v>-1</v>
      </c>
    </row>
    <row r="108" spans="1:26" s="24" customFormat="1" hidden="1" outlineLevel="1" x14ac:dyDescent="0.25">
      <c r="A108" s="44"/>
      <c r="B108" s="11" t="str">
        <f>CONCATENATE("          ", "5081", " - ", "PURCHASES @ COST-ELECTRONICS")</f>
        <v xml:space="preserve">          5081 - PURCHASES @ COST-ELECTRONICS</v>
      </c>
      <c r="C108" s="11"/>
      <c r="D108" s="2">
        <v>0</v>
      </c>
      <c r="E108" s="2"/>
      <c r="F108" s="19">
        <f t="shared" si="17"/>
        <v>0</v>
      </c>
      <c r="G108" s="2"/>
      <c r="H108" s="2">
        <v>8274.98</v>
      </c>
      <c r="I108" s="2"/>
      <c r="J108" s="19">
        <f t="shared" si="18"/>
        <v>1.3076947425692766E-2</v>
      </c>
      <c r="K108" s="2"/>
      <c r="L108" s="2">
        <f t="shared" si="19"/>
        <v>-8274.98</v>
      </c>
      <c r="M108" s="2"/>
      <c r="N108" s="19">
        <f t="shared" si="20"/>
        <v>-1</v>
      </c>
      <c r="O108" s="11"/>
      <c r="P108" s="2">
        <v>0</v>
      </c>
      <c r="Q108" s="2"/>
      <c r="R108" s="19">
        <f t="shared" si="21"/>
        <v>0</v>
      </c>
      <c r="S108" s="2"/>
      <c r="T108" s="2">
        <v>15697.45</v>
      </c>
      <c r="U108" s="2"/>
      <c r="V108" s="19">
        <f t="shared" si="22"/>
        <v>4.9719751065914423E-3</v>
      </c>
      <c r="W108" s="2"/>
      <c r="X108" s="2">
        <f t="shared" si="23"/>
        <v>-15697.45</v>
      </c>
      <c r="Y108" s="2"/>
      <c r="Z108" s="19">
        <f t="shared" si="24"/>
        <v>-1</v>
      </c>
    </row>
    <row r="109" spans="1:26" s="24" customFormat="1" hidden="1" outlineLevel="1" x14ac:dyDescent="0.25">
      <c r="A109" s="44"/>
      <c r="B109" s="11" t="str">
        <f>CONCATENATE("          ", "5082", " - ", "PURCHASES @ COST-COMPUTER HARD")</f>
        <v xml:space="preserve">          5082 - PURCHASES @ COST-COMPUTER HARD</v>
      </c>
      <c r="C109" s="11"/>
      <c r="D109" s="2">
        <v>-22380.03</v>
      </c>
      <c r="E109" s="2"/>
      <c r="F109" s="19">
        <f t="shared" si="17"/>
        <v>-2.9474064471334698E-2</v>
      </c>
      <c r="G109" s="2"/>
      <c r="H109" s="2">
        <v>470149.41</v>
      </c>
      <c r="I109" s="2"/>
      <c r="J109" s="19">
        <f t="shared" si="18"/>
        <v>0.74297691556843315</v>
      </c>
      <c r="K109" s="2"/>
      <c r="L109" s="2">
        <f t="shared" si="19"/>
        <v>-492529.43999999994</v>
      </c>
      <c r="M109" s="2"/>
      <c r="N109" s="19">
        <f t="shared" si="20"/>
        <v>-1.0476019527494462</v>
      </c>
      <c r="O109" s="11"/>
      <c r="P109" s="2">
        <v>-56783.85</v>
      </c>
      <c r="Q109" s="2"/>
      <c r="R109" s="19">
        <f t="shared" si="21"/>
        <v>-1.9371656566790761E-2</v>
      </c>
      <c r="S109" s="2"/>
      <c r="T109" s="2">
        <v>713373.21</v>
      </c>
      <c r="U109" s="2"/>
      <c r="V109" s="19">
        <f t="shared" si="22"/>
        <v>0.22595223057434355</v>
      </c>
      <c r="W109" s="2"/>
      <c r="X109" s="2">
        <f t="shared" si="23"/>
        <v>-770157.05999999994</v>
      </c>
      <c r="Y109" s="2"/>
      <c r="Z109" s="19">
        <f t="shared" si="24"/>
        <v>-1.0795990783001228</v>
      </c>
    </row>
    <row r="110" spans="1:26" s="24" customFormat="1" hidden="1" outlineLevel="1" x14ac:dyDescent="0.25">
      <c r="A110" s="44"/>
      <c r="B110" s="11" t="str">
        <f>CONCATENATE("          ", "5083", " - ", "PURCHASES @ COST-COMPUTER EQUI")</f>
        <v xml:space="preserve">          5083 - PURCHASES @ COST-COMPUTER EQUI</v>
      </c>
      <c r="C110" s="11"/>
      <c r="D110" s="2">
        <v>0</v>
      </c>
      <c r="E110" s="2"/>
      <c r="F110" s="19">
        <f t="shared" si="17"/>
        <v>0</v>
      </c>
      <c r="G110" s="2"/>
      <c r="H110" s="2">
        <v>24155.15</v>
      </c>
      <c r="I110" s="2"/>
      <c r="J110" s="19">
        <f t="shared" si="18"/>
        <v>3.8172373420808592E-2</v>
      </c>
      <c r="K110" s="2"/>
      <c r="L110" s="2">
        <f t="shared" si="19"/>
        <v>-24155.15</v>
      </c>
      <c r="M110" s="2"/>
      <c r="N110" s="19">
        <f t="shared" si="20"/>
        <v>-1</v>
      </c>
      <c r="O110" s="11"/>
      <c r="P110" s="2">
        <v>0</v>
      </c>
      <c r="Q110" s="2"/>
      <c r="R110" s="19">
        <f t="shared" si="21"/>
        <v>0</v>
      </c>
      <c r="S110" s="2"/>
      <c r="T110" s="2">
        <v>61434</v>
      </c>
      <c r="U110" s="2"/>
      <c r="V110" s="19">
        <f t="shared" si="22"/>
        <v>1.9458467375168494E-2</v>
      </c>
      <c r="W110" s="2"/>
      <c r="X110" s="2">
        <f t="shared" si="23"/>
        <v>-61434</v>
      </c>
      <c r="Y110" s="2"/>
      <c r="Z110" s="19">
        <f t="shared" si="24"/>
        <v>-1</v>
      </c>
    </row>
    <row r="111" spans="1:26" s="24" customFormat="1" hidden="1" outlineLevel="1" x14ac:dyDescent="0.25">
      <c r="A111" s="44"/>
      <c r="B111" s="11" t="str">
        <f>CONCATENATE("          ", "5085", " - ", "PURCHASES @ COST-SOFTWARE")</f>
        <v xml:space="preserve">          5085 - PURCHASES @ COST-SOFTWARE</v>
      </c>
      <c r="C111" s="11"/>
      <c r="D111" s="2">
        <v>0</v>
      </c>
      <c r="E111" s="2"/>
      <c r="F111" s="19">
        <f t="shared" si="17"/>
        <v>0</v>
      </c>
      <c r="G111" s="2"/>
      <c r="H111" s="2">
        <v>8609.1200000000008</v>
      </c>
      <c r="I111" s="2"/>
      <c r="J111" s="19">
        <f t="shared" si="18"/>
        <v>1.360498872764407E-2</v>
      </c>
      <c r="K111" s="2"/>
      <c r="L111" s="2">
        <f t="shared" si="19"/>
        <v>-8609.1200000000008</v>
      </c>
      <c r="M111" s="2"/>
      <c r="N111" s="19">
        <f t="shared" si="20"/>
        <v>-1</v>
      </c>
      <c r="O111" s="11"/>
      <c r="P111" s="2">
        <v>0</v>
      </c>
      <c r="Q111" s="2"/>
      <c r="R111" s="19">
        <f t="shared" si="21"/>
        <v>0</v>
      </c>
      <c r="S111" s="2"/>
      <c r="T111" s="2">
        <v>14837.68</v>
      </c>
      <c r="U111" s="2"/>
      <c r="V111" s="19">
        <f t="shared" si="22"/>
        <v>4.6996534850927835E-3</v>
      </c>
      <c r="W111" s="2"/>
      <c r="X111" s="2">
        <f t="shared" si="23"/>
        <v>-14837.68</v>
      </c>
      <c r="Y111" s="2"/>
      <c r="Z111" s="19">
        <f t="shared" si="24"/>
        <v>-1</v>
      </c>
    </row>
    <row r="112" spans="1:26" s="24" customFormat="1" hidden="1" outlineLevel="1" x14ac:dyDescent="0.25">
      <c r="A112" s="44"/>
      <c r="B112" s="11" t="str">
        <f>CONCATENATE("          ", "5086", " - ", "PURCHASES @ COST-COMPUTER SUPP")</f>
        <v xml:space="preserve">          5086 - PURCHASES @ COST-COMPUTER SUPP</v>
      </c>
      <c r="C112" s="11"/>
      <c r="D112" s="2">
        <v>0</v>
      </c>
      <c r="E112" s="2"/>
      <c r="F112" s="19">
        <f t="shared" si="17"/>
        <v>0</v>
      </c>
      <c r="G112" s="2"/>
      <c r="H112" s="2">
        <v>18.760000000000002</v>
      </c>
      <c r="I112" s="2"/>
      <c r="J112" s="19">
        <f t="shared" si="18"/>
        <v>2.9646420137087501E-5</v>
      </c>
      <c r="K112" s="2"/>
      <c r="L112" s="2">
        <f t="shared" si="19"/>
        <v>-18.760000000000002</v>
      </c>
      <c r="M112" s="2"/>
      <c r="N112" s="19">
        <f t="shared" si="20"/>
        <v>-1</v>
      </c>
      <c r="O112" s="11"/>
      <c r="P112" s="2">
        <v>0</v>
      </c>
      <c r="Q112" s="2"/>
      <c r="R112" s="19">
        <f t="shared" si="21"/>
        <v>0</v>
      </c>
      <c r="S112" s="2"/>
      <c r="T112" s="2">
        <v>21755.97</v>
      </c>
      <c r="U112" s="2"/>
      <c r="V112" s="19">
        <f t="shared" si="22"/>
        <v>6.8909371432780628E-3</v>
      </c>
      <c r="W112" s="2"/>
      <c r="X112" s="2">
        <f t="shared" si="23"/>
        <v>-21755.97</v>
      </c>
      <c r="Y112" s="2"/>
      <c r="Z112" s="19">
        <f t="shared" si="24"/>
        <v>-1</v>
      </c>
    </row>
    <row r="113" spans="1:26" s="24" customFormat="1" hidden="1" outlineLevel="1" x14ac:dyDescent="0.25">
      <c r="A113" s="44"/>
      <c r="B113" s="11" t="str">
        <f>CONCATENATE("          ", "5092", " - ", "PURCHASES @ COST-GRAD MERCH")</f>
        <v xml:space="preserve">          5092 - PURCHASES @ COST-GRAD MERCH</v>
      </c>
      <c r="C113" s="11"/>
      <c r="D113" s="2"/>
      <c r="E113" s="2"/>
      <c r="F113" s="19">
        <f t="shared" si="17"/>
        <v>0</v>
      </c>
      <c r="G113" s="2"/>
      <c r="H113" s="2"/>
      <c r="I113" s="2"/>
      <c r="J113" s="19">
        <f t="shared" si="18"/>
        <v>0</v>
      </c>
      <c r="K113" s="2"/>
      <c r="L113" s="2">
        <f t="shared" si="19"/>
        <v>0</v>
      </c>
      <c r="M113" s="2"/>
      <c r="N113" s="19">
        <f t="shared" si="20"/>
        <v>0</v>
      </c>
      <c r="O113" s="11"/>
      <c r="P113" s="2"/>
      <c r="Q113" s="2"/>
      <c r="R113" s="19">
        <f t="shared" si="21"/>
        <v>0</v>
      </c>
      <c r="S113" s="2"/>
      <c r="T113" s="2">
        <v>0</v>
      </c>
      <c r="U113" s="2"/>
      <c r="V113" s="19">
        <f t="shared" si="22"/>
        <v>0</v>
      </c>
      <c r="W113" s="2"/>
      <c r="X113" s="2">
        <f t="shared" si="23"/>
        <v>0</v>
      </c>
      <c r="Y113" s="2"/>
      <c r="Z113" s="19">
        <f t="shared" si="24"/>
        <v>0</v>
      </c>
    </row>
    <row r="114" spans="1:26" s="24" customFormat="1" hidden="1" outlineLevel="1" x14ac:dyDescent="0.25">
      <c r="A114" s="44"/>
      <c r="B114" s="11" t="str">
        <f>CONCATENATE("          ", "5200", " - ", "PURCHASES OFFSET")</f>
        <v xml:space="preserve">          5200 - PURCHASES OFFSET</v>
      </c>
      <c r="C114" s="11"/>
      <c r="D114" s="2">
        <v>-866523.34</v>
      </c>
      <c r="E114" s="2"/>
      <c r="F114" s="19">
        <f t="shared" si="17"/>
        <v>-1.1411943946936745</v>
      </c>
      <c r="G114" s="2"/>
      <c r="H114" s="2">
        <v>-1333358.52</v>
      </c>
      <c r="I114" s="2"/>
      <c r="J114" s="19">
        <f t="shared" si="18"/>
        <v>-2.1071059103030483</v>
      </c>
      <c r="K114" s="2"/>
      <c r="L114" s="2">
        <f t="shared" si="19"/>
        <v>466835.18000000005</v>
      </c>
      <c r="M114" s="2"/>
      <c r="N114" s="19">
        <f t="shared" si="20"/>
        <v>-0.35011977123752136</v>
      </c>
      <c r="O114" s="11"/>
      <c r="P114" s="2">
        <v>-1899863.51</v>
      </c>
      <c r="Q114" s="2"/>
      <c r="R114" s="19">
        <f t="shared" si="21"/>
        <v>-0.6481332885934582</v>
      </c>
      <c r="S114" s="2"/>
      <c r="T114" s="2">
        <v>-2362293.5</v>
      </c>
      <c r="U114" s="2"/>
      <c r="V114" s="19">
        <f t="shared" si="22"/>
        <v>-0.74822754501290156</v>
      </c>
      <c r="W114" s="2"/>
      <c r="X114" s="2">
        <f t="shared" si="23"/>
        <v>462429.99</v>
      </c>
      <c r="Y114" s="2"/>
      <c r="Z114" s="19">
        <f t="shared" si="24"/>
        <v>-0.19575467231315669</v>
      </c>
    </row>
    <row r="115" spans="1:26" s="24" customFormat="1" hidden="1" outlineLevel="1" x14ac:dyDescent="0.25">
      <c r="A115" s="44"/>
      <c r="B115" s="11" t="str">
        <f>CONCATENATE("          ", "5300", " - ", "COG$ OFFSET")</f>
        <v xml:space="preserve">          5300 - COG$ OFFSET</v>
      </c>
      <c r="C115" s="11"/>
      <c r="D115" s="2">
        <v>478937.18</v>
      </c>
      <c r="E115" s="2"/>
      <c r="F115" s="19">
        <f t="shared" si="17"/>
        <v>0.63075095614434973</v>
      </c>
      <c r="G115" s="2"/>
      <c r="H115" s="2">
        <v>466553</v>
      </c>
      <c r="I115" s="2"/>
      <c r="J115" s="19">
        <f t="shared" si="18"/>
        <v>0.73729351035280299</v>
      </c>
      <c r="K115" s="2"/>
      <c r="L115" s="2">
        <f t="shared" si="19"/>
        <v>12384.179999999993</v>
      </c>
      <c r="M115" s="2"/>
      <c r="N115" s="19">
        <f t="shared" si="20"/>
        <v>2.6543993929950067E-2</v>
      </c>
      <c r="O115" s="11"/>
      <c r="P115" s="2">
        <v>1802304.35</v>
      </c>
      <c r="Q115" s="2"/>
      <c r="R115" s="19">
        <f t="shared" si="21"/>
        <v>0.61485124550436532</v>
      </c>
      <c r="S115" s="2"/>
      <c r="T115" s="2">
        <v>2035030</v>
      </c>
      <c r="U115" s="2"/>
      <c r="V115" s="19">
        <f t="shared" si="22"/>
        <v>0.64457083801297554</v>
      </c>
      <c r="W115" s="2"/>
      <c r="X115" s="2">
        <f t="shared" si="23"/>
        <v>-232725.64999999991</v>
      </c>
      <c r="Y115" s="2"/>
      <c r="Z115" s="19">
        <f t="shared" si="24"/>
        <v>-0.11435981287745139</v>
      </c>
    </row>
    <row r="116" spans="1:26" s="24" customFormat="1" hidden="1" outlineLevel="1" x14ac:dyDescent="0.25">
      <c r="A116" s="44"/>
      <c r="B116" s="11" t="str">
        <f>CONCATENATE("          ", "5500", " - ", "FREIGHT-IN")</f>
        <v xml:space="preserve">          5500 - FREIGHT-IN</v>
      </c>
      <c r="C116" s="11"/>
      <c r="D116" s="2">
        <v>17166.12</v>
      </c>
      <c r="E116" s="2"/>
      <c r="F116" s="19">
        <f t="shared" si="17"/>
        <v>2.2607446352961455E-2</v>
      </c>
      <c r="G116" s="2"/>
      <c r="H116" s="2">
        <v>0</v>
      </c>
      <c r="I116" s="2"/>
      <c r="J116" s="19">
        <f t="shared" si="18"/>
        <v>0</v>
      </c>
      <c r="K116" s="2"/>
      <c r="L116" s="2">
        <f t="shared" si="19"/>
        <v>17166.12</v>
      </c>
      <c r="M116" s="2"/>
      <c r="N116" s="19">
        <f t="shared" si="20"/>
        <v>0</v>
      </c>
      <c r="O116" s="11"/>
      <c r="P116" s="2">
        <v>27376.44</v>
      </c>
      <c r="Q116" s="2"/>
      <c r="R116" s="19">
        <f t="shared" si="21"/>
        <v>9.3393983271890368E-3</v>
      </c>
      <c r="S116" s="2"/>
      <c r="T116" s="2">
        <v>0</v>
      </c>
      <c r="U116" s="2"/>
      <c r="V116" s="19">
        <f t="shared" si="22"/>
        <v>0</v>
      </c>
      <c r="W116" s="2"/>
      <c r="X116" s="2">
        <f t="shared" si="23"/>
        <v>27376.44</v>
      </c>
      <c r="Y116" s="2"/>
      <c r="Z116" s="19">
        <f t="shared" si="24"/>
        <v>0</v>
      </c>
    </row>
    <row r="117" spans="1:26" s="24" customFormat="1" hidden="1" outlineLevel="1" x14ac:dyDescent="0.25">
      <c r="A117" s="44"/>
      <c r="B117" s="11" t="str">
        <f>CONCATENATE("          ", "5501", " - ", "FREIGHT-IN-NEW TEXT")</f>
        <v xml:space="preserve">          5501 - FREIGHT-IN-NEW TEXT</v>
      </c>
      <c r="C117" s="11"/>
      <c r="D117" s="2">
        <v>0</v>
      </c>
      <c r="E117" s="2"/>
      <c r="F117" s="19">
        <f t="shared" si="17"/>
        <v>0</v>
      </c>
      <c r="G117" s="2"/>
      <c r="H117" s="2">
        <v>5279.6</v>
      </c>
      <c r="I117" s="2"/>
      <c r="J117" s="19">
        <f t="shared" si="18"/>
        <v>8.3433496671517678E-3</v>
      </c>
      <c r="K117" s="2"/>
      <c r="L117" s="2">
        <f t="shared" si="19"/>
        <v>-5279.6</v>
      </c>
      <c r="M117" s="2"/>
      <c r="N117" s="19">
        <f t="shared" si="20"/>
        <v>-1</v>
      </c>
      <c r="O117" s="11"/>
      <c r="P117" s="2">
        <v>0</v>
      </c>
      <c r="Q117" s="2"/>
      <c r="R117" s="19">
        <f t="shared" si="21"/>
        <v>0</v>
      </c>
      <c r="S117" s="2"/>
      <c r="T117" s="2">
        <v>10762.88</v>
      </c>
      <c r="U117" s="2"/>
      <c r="V117" s="19">
        <f t="shared" si="22"/>
        <v>3.4090104720977546E-3</v>
      </c>
      <c r="W117" s="2"/>
      <c r="X117" s="2">
        <f t="shared" si="23"/>
        <v>-10762.88</v>
      </c>
      <c r="Y117" s="2"/>
      <c r="Z117" s="19">
        <f t="shared" si="24"/>
        <v>-1</v>
      </c>
    </row>
    <row r="118" spans="1:26" s="24" customFormat="1" hidden="1" outlineLevel="1" x14ac:dyDescent="0.25">
      <c r="A118" s="44"/>
      <c r="B118" s="11" t="str">
        <f>CONCATENATE("          ", "5502", " - ", "FREIGHT-IN-USED TEXT")</f>
        <v xml:space="preserve">          5502 - FREIGHT-IN-USED TEXT</v>
      </c>
      <c r="C118" s="11"/>
      <c r="D118" s="2">
        <v>0</v>
      </c>
      <c r="E118" s="2"/>
      <c r="F118" s="19">
        <f t="shared" si="17"/>
        <v>0</v>
      </c>
      <c r="G118" s="2"/>
      <c r="H118" s="2">
        <v>7276.27</v>
      </c>
      <c r="I118" s="2"/>
      <c r="J118" s="19">
        <f t="shared" si="18"/>
        <v>1.1498686431283885E-2</v>
      </c>
      <c r="K118" s="2"/>
      <c r="L118" s="2">
        <f t="shared" si="19"/>
        <v>-7276.27</v>
      </c>
      <c r="M118" s="2"/>
      <c r="N118" s="19">
        <f t="shared" si="20"/>
        <v>-1</v>
      </c>
      <c r="O118" s="11"/>
      <c r="P118" s="2">
        <v>0</v>
      </c>
      <c r="Q118" s="2"/>
      <c r="R118" s="19">
        <f t="shared" si="21"/>
        <v>0</v>
      </c>
      <c r="S118" s="2"/>
      <c r="T118" s="2">
        <v>8510.82</v>
      </c>
      <c r="U118" s="2"/>
      <c r="V118" s="19">
        <f t="shared" si="22"/>
        <v>2.6956980386419818E-3</v>
      </c>
      <c r="W118" s="2"/>
      <c r="X118" s="2">
        <f t="shared" si="23"/>
        <v>-8510.82</v>
      </c>
      <c r="Y118" s="2"/>
      <c r="Z118" s="19">
        <f t="shared" si="24"/>
        <v>-1</v>
      </c>
    </row>
    <row r="119" spans="1:26" s="24" customFormat="1" hidden="1" outlineLevel="1" x14ac:dyDescent="0.25">
      <c r="A119" s="44"/>
      <c r="B119" s="11" t="str">
        <f>CONCATENATE("          ", "5504", " - ", "FREIGHT-IN-DIGITAL TEXT")</f>
        <v xml:space="preserve">          5504 - FREIGHT-IN-DIGITAL TEXT</v>
      </c>
      <c r="C119" s="11"/>
      <c r="D119" s="2"/>
      <c r="E119" s="2"/>
      <c r="F119" s="19">
        <f t="shared" si="17"/>
        <v>0</v>
      </c>
      <c r="G119" s="2"/>
      <c r="H119" s="2">
        <v>10.99</v>
      </c>
      <c r="I119" s="2"/>
      <c r="J119" s="19">
        <f t="shared" si="18"/>
        <v>1.7367492393741559E-5</v>
      </c>
      <c r="K119" s="2"/>
      <c r="L119" s="2">
        <f t="shared" si="19"/>
        <v>-10.99</v>
      </c>
      <c r="M119" s="2"/>
      <c r="N119" s="19">
        <f t="shared" si="20"/>
        <v>-1</v>
      </c>
      <c r="O119" s="11"/>
      <c r="P119" s="2"/>
      <c r="Q119" s="2"/>
      <c r="R119" s="19">
        <f t="shared" si="21"/>
        <v>0</v>
      </c>
      <c r="S119" s="2"/>
      <c r="T119" s="2">
        <v>10.99</v>
      </c>
      <c r="U119" s="2"/>
      <c r="V119" s="19">
        <f t="shared" si="22"/>
        <v>3.4809479515105927E-6</v>
      </c>
      <c r="W119" s="2"/>
      <c r="X119" s="2">
        <f t="shared" si="23"/>
        <v>-10.99</v>
      </c>
      <c r="Y119" s="2"/>
      <c r="Z119" s="19">
        <f t="shared" si="24"/>
        <v>-1</v>
      </c>
    </row>
    <row r="120" spans="1:26" s="24" customFormat="1" hidden="1" outlineLevel="1" x14ac:dyDescent="0.25">
      <c r="A120" s="44"/>
      <c r="B120" s="11" t="str">
        <f>CONCATENATE("          ", "5518", " - ", "FREIGHT-IN-STUDY GUIDES")</f>
        <v xml:space="preserve">          5518 - FREIGHT-IN-STUDY GUIDES</v>
      </c>
      <c r="C120" s="11"/>
      <c r="D120" s="2"/>
      <c r="E120" s="2"/>
      <c r="F120" s="19">
        <f t="shared" si="17"/>
        <v>0</v>
      </c>
      <c r="G120" s="2"/>
      <c r="H120" s="2"/>
      <c r="I120" s="2"/>
      <c r="J120" s="19">
        <f t="shared" si="18"/>
        <v>0</v>
      </c>
      <c r="K120" s="2"/>
      <c r="L120" s="2">
        <f t="shared" si="19"/>
        <v>0</v>
      </c>
      <c r="M120" s="2"/>
      <c r="N120" s="19">
        <f t="shared" si="20"/>
        <v>0</v>
      </c>
      <c r="O120" s="11"/>
      <c r="P120" s="2">
        <v>0</v>
      </c>
      <c r="Q120" s="2"/>
      <c r="R120" s="19">
        <f t="shared" si="21"/>
        <v>0</v>
      </c>
      <c r="S120" s="2"/>
      <c r="T120" s="2"/>
      <c r="U120" s="2"/>
      <c r="V120" s="19">
        <f t="shared" si="22"/>
        <v>0</v>
      </c>
      <c r="W120" s="2"/>
      <c r="X120" s="2">
        <f t="shared" si="23"/>
        <v>0</v>
      </c>
      <c r="Y120" s="2"/>
      <c r="Z120" s="19">
        <f t="shared" si="24"/>
        <v>0</v>
      </c>
    </row>
    <row r="121" spans="1:26" s="24" customFormat="1" hidden="1" outlineLevel="1" x14ac:dyDescent="0.25">
      <c r="A121" s="44"/>
      <c r="B121" s="11" t="str">
        <f>CONCATENATE("          ", "5527", " - ", "FREIGHT-IN-SCHOOL SUPPLIES")</f>
        <v xml:space="preserve">          5527 - FREIGHT-IN-SCHOOL SUPPLIES</v>
      </c>
      <c r="C121" s="11"/>
      <c r="D121" s="2"/>
      <c r="E121" s="2"/>
      <c r="F121" s="19">
        <f t="shared" si="17"/>
        <v>0</v>
      </c>
      <c r="G121" s="2"/>
      <c r="H121" s="2"/>
      <c r="I121" s="2"/>
      <c r="J121" s="19">
        <f t="shared" si="18"/>
        <v>0</v>
      </c>
      <c r="K121" s="2"/>
      <c r="L121" s="2">
        <f t="shared" si="19"/>
        <v>0</v>
      </c>
      <c r="M121" s="2"/>
      <c r="N121" s="19">
        <f t="shared" si="20"/>
        <v>0</v>
      </c>
      <c r="O121" s="11"/>
      <c r="P121" s="2">
        <v>0</v>
      </c>
      <c r="Q121" s="2"/>
      <c r="R121" s="19">
        <f t="shared" si="21"/>
        <v>0</v>
      </c>
      <c r="S121" s="2"/>
      <c r="T121" s="2"/>
      <c r="U121" s="2"/>
      <c r="V121" s="19">
        <f t="shared" si="22"/>
        <v>0</v>
      </c>
      <c r="W121" s="2"/>
      <c r="X121" s="2">
        <f t="shared" si="23"/>
        <v>0</v>
      </c>
      <c r="Y121" s="2"/>
      <c r="Z121" s="19">
        <f t="shared" si="24"/>
        <v>0</v>
      </c>
    </row>
    <row r="122" spans="1:26" s="24" customFormat="1" hidden="1" outlineLevel="1" x14ac:dyDescent="0.25">
      <c r="A122" s="44"/>
      <c r="B122" s="11" t="str">
        <f>CONCATENATE("          ", "5528", " - ", "FREIGHT-IN-ART/TECH")</f>
        <v xml:space="preserve">          5528 - FREIGHT-IN-ART/TECH</v>
      </c>
      <c r="C122" s="11"/>
      <c r="D122" s="2">
        <v>0</v>
      </c>
      <c r="E122" s="2"/>
      <c r="F122" s="19">
        <f t="shared" si="17"/>
        <v>0</v>
      </c>
      <c r="G122" s="2"/>
      <c r="H122" s="2">
        <v>6.76</v>
      </c>
      <c r="I122" s="2"/>
      <c r="J122" s="19">
        <f t="shared" si="18"/>
        <v>1.0682825166669056E-5</v>
      </c>
      <c r="K122" s="2"/>
      <c r="L122" s="2">
        <f t="shared" si="19"/>
        <v>-6.76</v>
      </c>
      <c r="M122" s="2"/>
      <c r="N122" s="19">
        <f t="shared" si="20"/>
        <v>-1</v>
      </c>
      <c r="O122" s="11"/>
      <c r="P122" s="2">
        <v>0</v>
      </c>
      <c r="Q122" s="2"/>
      <c r="R122" s="19">
        <f t="shared" si="21"/>
        <v>0</v>
      </c>
      <c r="S122" s="2"/>
      <c r="T122" s="2">
        <v>44.81</v>
      </c>
      <c r="U122" s="2"/>
      <c r="V122" s="19">
        <f t="shared" si="22"/>
        <v>1.4193018899653291E-5</v>
      </c>
      <c r="W122" s="2"/>
      <c r="X122" s="2">
        <f t="shared" si="23"/>
        <v>-44.81</v>
      </c>
      <c r="Y122" s="2"/>
      <c r="Z122" s="19">
        <f t="shared" si="24"/>
        <v>-1</v>
      </c>
    </row>
    <row r="123" spans="1:26" s="24" customFormat="1" hidden="1" outlineLevel="1" x14ac:dyDescent="0.25">
      <c r="A123" s="44"/>
      <c r="B123" s="11" t="str">
        <f>CONCATENATE("          ", "5540", " - ", "FREIGHT-IN-LOGO CLOTHING")</f>
        <v xml:space="preserve">          5540 - FREIGHT-IN-LOGO CLOTHING</v>
      </c>
      <c r="C123" s="11"/>
      <c r="D123" s="2"/>
      <c r="E123" s="2"/>
      <c r="F123" s="19">
        <f t="shared" si="17"/>
        <v>0</v>
      </c>
      <c r="G123" s="2"/>
      <c r="H123" s="2">
        <v>234.23</v>
      </c>
      <c r="I123" s="2"/>
      <c r="J123" s="19">
        <f t="shared" si="18"/>
        <v>3.7015357082675931E-4</v>
      </c>
      <c r="K123" s="2"/>
      <c r="L123" s="2">
        <f t="shared" si="19"/>
        <v>-234.23</v>
      </c>
      <c r="M123" s="2"/>
      <c r="N123" s="19">
        <f t="shared" si="20"/>
        <v>-1</v>
      </c>
      <c r="O123" s="11"/>
      <c r="P123" s="2">
        <v>0</v>
      </c>
      <c r="Q123" s="2"/>
      <c r="R123" s="19">
        <f t="shared" si="21"/>
        <v>0</v>
      </c>
      <c r="S123" s="2"/>
      <c r="T123" s="2">
        <v>2165.7600000000002</v>
      </c>
      <c r="U123" s="2"/>
      <c r="V123" s="19">
        <f t="shared" si="22"/>
        <v>6.8597796501033504E-4</v>
      </c>
      <c r="W123" s="2"/>
      <c r="X123" s="2">
        <f t="shared" si="23"/>
        <v>-2165.7600000000002</v>
      </c>
      <c r="Y123" s="2"/>
      <c r="Z123" s="19">
        <f t="shared" si="24"/>
        <v>-1</v>
      </c>
    </row>
    <row r="124" spans="1:26" s="24" customFormat="1" hidden="1" outlineLevel="1" x14ac:dyDescent="0.25">
      <c r="A124" s="44"/>
      <c r="B124" s="11" t="str">
        <f>CONCATENATE("          ", "5541", " - ", "FREIGHT-IN-LOGO GIFTS")</f>
        <v xml:space="preserve">          5541 - FREIGHT-IN-LOGO GIFTS</v>
      </c>
      <c r="C124" s="11"/>
      <c r="D124" s="2">
        <v>0</v>
      </c>
      <c r="E124" s="2"/>
      <c r="F124" s="19">
        <f t="shared" si="17"/>
        <v>0</v>
      </c>
      <c r="G124" s="2"/>
      <c r="H124" s="2">
        <v>154.41</v>
      </c>
      <c r="I124" s="2"/>
      <c r="J124" s="19">
        <f t="shared" si="18"/>
        <v>2.4401405828185932E-4</v>
      </c>
      <c r="K124" s="2"/>
      <c r="L124" s="2">
        <f t="shared" si="19"/>
        <v>-154.41</v>
      </c>
      <c r="M124" s="2"/>
      <c r="N124" s="19">
        <f t="shared" si="20"/>
        <v>-1</v>
      </c>
      <c r="O124" s="11"/>
      <c r="P124" s="2">
        <v>0</v>
      </c>
      <c r="Q124" s="2"/>
      <c r="R124" s="19">
        <f t="shared" si="21"/>
        <v>0</v>
      </c>
      <c r="S124" s="2"/>
      <c r="T124" s="2">
        <v>361.11</v>
      </c>
      <c r="U124" s="2"/>
      <c r="V124" s="19">
        <f t="shared" si="22"/>
        <v>1.1437717149863422E-4</v>
      </c>
      <c r="W124" s="2"/>
      <c r="X124" s="2">
        <f t="shared" si="23"/>
        <v>-361.11</v>
      </c>
      <c r="Y124" s="2"/>
      <c r="Z124" s="19">
        <f t="shared" si="24"/>
        <v>-1</v>
      </c>
    </row>
    <row r="125" spans="1:26" s="24" customFormat="1" hidden="1" outlineLevel="1" x14ac:dyDescent="0.25">
      <c r="A125" s="44"/>
      <c r="B125" s="11" t="str">
        <f>CONCATENATE("          ", "5542", " - ", "FREIGHT-IN-EVERYDAY GIFTS")</f>
        <v xml:space="preserve">          5542 - FREIGHT-IN-EVERYDAY GIFTS</v>
      </c>
      <c r="C125" s="11"/>
      <c r="D125" s="2"/>
      <c r="E125" s="2"/>
      <c r="F125" s="19">
        <f t="shared" si="17"/>
        <v>0</v>
      </c>
      <c r="G125" s="2"/>
      <c r="H125" s="2">
        <v>65.44</v>
      </c>
      <c r="I125" s="2"/>
      <c r="J125" s="19">
        <f t="shared" si="18"/>
        <v>1.0341480457201524E-4</v>
      </c>
      <c r="K125" s="2"/>
      <c r="L125" s="2">
        <f t="shared" si="19"/>
        <v>-65.44</v>
      </c>
      <c r="M125" s="2"/>
      <c r="N125" s="19">
        <f t="shared" si="20"/>
        <v>-1</v>
      </c>
      <c r="O125" s="11"/>
      <c r="P125" s="2">
        <v>0</v>
      </c>
      <c r="Q125" s="2"/>
      <c r="R125" s="19">
        <f t="shared" si="21"/>
        <v>0</v>
      </c>
      <c r="S125" s="2"/>
      <c r="T125" s="2">
        <v>71.38</v>
      </c>
      <c r="U125" s="2"/>
      <c r="V125" s="19">
        <f t="shared" si="22"/>
        <v>2.2608741108173437E-5</v>
      </c>
      <c r="W125" s="2"/>
      <c r="X125" s="2">
        <f t="shared" si="23"/>
        <v>-71.38</v>
      </c>
      <c r="Y125" s="2"/>
      <c r="Z125" s="19">
        <f t="shared" si="24"/>
        <v>-1</v>
      </c>
    </row>
    <row r="126" spans="1:26" s="24" customFormat="1" hidden="1" outlineLevel="1" x14ac:dyDescent="0.25">
      <c r="A126" s="44"/>
      <c r="B126" s="11" t="str">
        <f>CONCATENATE("          ", "5543", " - ", "FREIGHT-IN-CARDS")</f>
        <v xml:space="preserve">          5543 - FREIGHT-IN-CARDS</v>
      </c>
      <c r="C126" s="11"/>
      <c r="D126" s="2"/>
      <c r="E126" s="2"/>
      <c r="F126" s="19">
        <f t="shared" si="17"/>
        <v>0</v>
      </c>
      <c r="G126" s="2"/>
      <c r="H126" s="2">
        <v>81.77</v>
      </c>
      <c r="I126" s="2"/>
      <c r="J126" s="19">
        <f t="shared" si="18"/>
        <v>1.2922109672759301E-4</v>
      </c>
      <c r="K126" s="2"/>
      <c r="L126" s="2">
        <f t="shared" si="19"/>
        <v>-81.77</v>
      </c>
      <c r="M126" s="2"/>
      <c r="N126" s="19">
        <f t="shared" si="20"/>
        <v>-1</v>
      </c>
      <c r="O126" s="11"/>
      <c r="P126" s="2"/>
      <c r="Q126" s="2"/>
      <c r="R126" s="19">
        <f t="shared" si="21"/>
        <v>0</v>
      </c>
      <c r="S126" s="2"/>
      <c r="T126" s="2">
        <v>81.77</v>
      </c>
      <c r="U126" s="2"/>
      <c r="V126" s="19">
        <f t="shared" si="22"/>
        <v>2.589964640537044E-5</v>
      </c>
      <c r="W126" s="2"/>
      <c r="X126" s="2">
        <f t="shared" si="23"/>
        <v>-81.77</v>
      </c>
      <c r="Y126" s="2"/>
      <c r="Z126" s="19">
        <f t="shared" si="24"/>
        <v>-1</v>
      </c>
    </row>
    <row r="127" spans="1:26" s="24" customFormat="1" hidden="1" outlineLevel="1" x14ac:dyDescent="0.25">
      <c r="A127" s="44"/>
      <c r="B127" s="11" t="str">
        <f>CONCATENATE("          ", "5544", " - ", "FREIGHT-IN-ACCESSORIES")</f>
        <v xml:space="preserve">          5544 - FREIGHT-IN-ACCESSORIES</v>
      </c>
      <c r="C127" s="11"/>
      <c r="D127" s="2"/>
      <c r="E127" s="2"/>
      <c r="F127" s="19">
        <f t="shared" si="17"/>
        <v>0</v>
      </c>
      <c r="G127" s="2"/>
      <c r="H127" s="2"/>
      <c r="I127" s="2"/>
      <c r="J127" s="19">
        <f t="shared" si="18"/>
        <v>0</v>
      </c>
      <c r="K127" s="2"/>
      <c r="L127" s="2">
        <f t="shared" si="19"/>
        <v>0</v>
      </c>
      <c r="M127" s="2"/>
      <c r="N127" s="19">
        <f t="shared" si="20"/>
        <v>0</v>
      </c>
      <c r="O127" s="11"/>
      <c r="P127" s="2">
        <v>0</v>
      </c>
      <c r="Q127" s="2"/>
      <c r="R127" s="19">
        <f t="shared" si="21"/>
        <v>0</v>
      </c>
      <c r="S127" s="2"/>
      <c r="T127" s="2"/>
      <c r="U127" s="2"/>
      <c r="V127" s="19">
        <f t="shared" si="22"/>
        <v>0</v>
      </c>
      <c r="W127" s="2"/>
      <c r="X127" s="2">
        <f t="shared" si="23"/>
        <v>0</v>
      </c>
      <c r="Y127" s="2"/>
      <c r="Z127" s="19">
        <f t="shared" si="24"/>
        <v>0</v>
      </c>
    </row>
    <row r="128" spans="1:26" s="24" customFormat="1" hidden="1" outlineLevel="1" x14ac:dyDescent="0.25">
      <c r="A128" s="44"/>
      <c r="B128" s="11" t="str">
        <f>CONCATENATE("          ", "5545", " - ", "FREIGHT-IN-SPECIAL ORDERS")</f>
        <v xml:space="preserve">          5545 - FREIGHT-IN-SPECIAL ORDERS</v>
      </c>
      <c r="C128" s="11"/>
      <c r="D128" s="2"/>
      <c r="E128" s="2"/>
      <c r="F128" s="19">
        <f t="shared" si="17"/>
        <v>0</v>
      </c>
      <c r="G128" s="2"/>
      <c r="H128" s="2">
        <v>214.61</v>
      </c>
      <c r="I128" s="2"/>
      <c r="J128" s="19">
        <f t="shared" si="18"/>
        <v>3.3914809305012522E-4</v>
      </c>
      <c r="K128" s="2"/>
      <c r="L128" s="2">
        <f t="shared" si="19"/>
        <v>-214.61</v>
      </c>
      <c r="M128" s="2"/>
      <c r="N128" s="19">
        <f t="shared" si="20"/>
        <v>-1</v>
      </c>
      <c r="O128" s="11"/>
      <c r="P128" s="2">
        <v>0</v>
      </c>
      <c r="Q128" s="2"/>
      <c r="R128" s="19">
        <f t="shared" si="21"/>
        <v>0</v>
      </c>
      <c r="S128" s="2"/>
      <c r="T128" s="2">
        <v>660.61</v>
      </c>
      <c r="U128" s="2"/>
      <c r="V128" s="19">
        <f t="shared" si="22"/>
        <v>2.0924012977683462E-4</v>
      </c>
      <c r="W128" s="2"/>
      <c r="X128" s="2">
        <f t="shared" si="23"/>
        <v>-660.61</v>
      </c>
      <c r="Y128" s="2"/>
      <c r="Z128" s="19">
        <f t="shared" si="24"/>
        <v>-1</v>
      </c>
    </row>
    <row r="129" spans="1:26" s="24" customFormat="1" hidden="1" outlineLevel="1" x14ac:dyDescent="0.25">
      <c r="A129" s="44"/>
      <c r="B129" s="11" t="str">
        <f>CONCATENATE("          ", "5582", " - ", "FREIGHT-IN-COMPUTER HARDWARE")</f>
        <v xml:space="preserve">          5582 - FREIGHT-IN-COMPUTER HARDWARE</v>
      </c>
      <c r="C129" s="11"/>
      <c r="D129" s="2"/>
      <c r="E129" s="2"/>
      <c r="F129" s="19">
        <f t="shared" si="17"/>
        <v>0</v>
      </c>
      <c r="G129" s="2"/>
      <c r="H129" s="2">
        <v>24</v>
      </c>
      <c r="I129" s="2"/>
      <c r="J129" s="19">
        <f t="shared" si="18"/>
        <v>3.7927189940836888E-5</v>
      </c>
      <c r="K129" s="2"/>
      <c r="L129" s="2">
        <f t="shared" si="19"/>
        <v>-24</v>
      </c>
      <c r="M129" s="2"/>
      <c r="N129" s="19">
        <f t="shared" si="20"/>
        <v>-1</v>
      </c>
      <c r="O129" s="11"/>
      <c r="P129" s="2"/>
      <c r="Q129" s="2"/>
      <c r="R129" s="19">
        <f t="shared" si="21"/>
        <v>0</v>
      </c>
      <c r="S129" s="2"/>
      <c r="T129" s="2">
        <v>24</v>
      </c>
      <c r="U129" s="2"/>
      <c r="V129" s="19">
        <f t="shared" si="22"/>
        <v>7.6017061725436049E-6</v>
      </c>
      <c r="W129" s="2"/>
      <c r="X129" s="2">
        <f t="shared" si="23"/>
        <v>-24</v>
      </c>
      <c r="Y129" s="2"/>
      <c r="Z129" s="19">
        <f t="shared" si="24"/>
        <v>-1</v>
      </c>
    </row>
    <row r="130" spans="1:26" s="24" customFormat="1" hidden="1" outlineLevel="1" x14ac:dyDescent="0.25">
      <c r="A130" s="44"/>
      <c r="B130" s="11" t="str">
        <f>CONCATENATE("          ", "5583", " - ", "FREIGHT-IN-COMPUTER EQUIPMENT")</f>
        <v xml:space="preserve">          5583 - FREIGHT-IN-COMPUTER EQUIPMENT</v>
      </c>
      <c r="C130" s="11"/>
      <c r="D130" s="2"/>
      <c r="E130" s="2"/>
      <c r="F130" s="19">
        <f t="shared" si="17"/>
        <v>0</v>
      </c>
      <c r="G130" s="2"/>
      <c r="H130" s="2">
        <v>156</v>
      </c>
      <c r="I130" s="2"/>
      <c r="J130" s="19">
        <f t="shared" si="18"/>
        <v>2.4652673461543977E-4</v>
      </c>
      <c r="K130" s="2"/>
      <c r="L130" s="2">
        <f t="shared" si="19"/>
        <v>-156</v>
      </c>
      <c r="M130" s="2"/>
      <c r="N130" s="19">
        <f t="shared" si="20"/>
        <v>-1</v>
      </c>
      <c r="O130" s="11"/>
      <c r="P130" s="2">
        <v>0</v>
      </c>
      <c r="Q130" s="2"/>
      <c r="R130" s="19">
        <f t="shared" si="21"/>
        <v>0</v>
      </c>
      <c r="S130" s="2"/>
      <c r="T130" s="2">
        <v>173.39</v>
      </c>
      <c r="U130" s="2"/>
      <c r="V130" s="19">
        <f t="shared" si="22"/>
        <v>5.4919159719055649E-5</v>
      </c>
      <c r="W130" s="2"/>
      <c r="X130" s="2">
        <f t="shared" si="23"/>
        <v>-173.39</v>
      </c>
      <c r="Y130" s="2"/>
      <c r="Z130" s="19">
        <f t="shared" si="24"/>
        <v>-1</v>
      </c>
    </row>
    <row r="131" spans="1:26" s="24" customFormat="1" hidden="1" outlineLevel="1" x14ac:dyDescent="0.25">
      <c r="A131" s="44"/>
      <c r="B131" s="11" t="str">
        <f>CONCATENATE("          ", "5586", " - ", "FREIGHT-IN-COMPUTER SUPPLIES")</f>
        <v xml:space="preserve">          5586 - FREIGHT-IN-COMPUTER SUPPLIES</v>
      </c>
      <c r="C131" s="11"/>
      <c r="D131" s="2"/>
      <c r="E131" s="2"/>
      <c r="F131" s="19">
        <f t="shared" si="17"/>
        <v>0</v>
      </c>
      <c r="G131" s="2"/>
      <c r="H131" s="2"/>
      <c r="I131" s="2"/>
      <c r="J131" s="19">
        <f t="shared" si="18"/>
        <v>0</v>
      </c>
      <c r="K131" s="2"/>
      <c r="L131" s="2">
        <f t="shared" si="19"/>
        <v>0</v>
      </c>
      <c r="M131" s="2"/>
      <c r="N131" s="19">
        <f t="shared" si="20"/>
        <v>0</v>
      </c>
      <c r="O131" s="11"/>
      <c r="P131" s="2"/>
      <c r="Q131" s="2"/>
      <c r="R131" s="19">
        <f t="shared" si="21"/>
        <v>0</v>
      </c>
      <c r="S131" s="2"/>
      <c r="T131" s="2">
        <v>24.12</v>
      </c>
      <c r="U131" s="2"/>
      <c r="V131" s="19">
        <f t="shared" si="22"/>
        <v>7.6397147034063229E-6</v>
      </c>
      <c r="W131" s="2"/>
      <c r="X131" s="2">
        <f t="shared" si="23"/>
        <v>-24.12</v>
      </c>
      <c r="Y131" s="2"/>
      <c r="Z131" s="19">
        <f t="shared" si="24"/>
        <v>-1</v>
      </c>
    </row>
    <row r="132" spans="1:26" s="24" customFormat="1" hidden="1" outlineLevel="1" x14ac:dyDescent="0.25">
      <c r="A132" s="44"/>
      <c r="B132" s="11" t="str">
        <f>CONCATENATE("          ", "5592", " - ", "FREIGHT-IN-GRAD MERCH")</f>
        <v xml:space="preserve">          5592 - FREIGHT-IN-GRAD MERCH</v>
      </c>
      <c r="C132" s="11"/>
      <c r="D132" s="2"/>
      <c r="E132" s="2"/>
      <c r="F132" s="19">
        <f t="shared" si="17"/>
        <v>0</v>
      </c>
      <c r="G132" s="2"/>
      <c r="H132" s="2"/>
      <c r="I132" s="2"/>
      <c r="J132" s="19">
        <f t="shared" si="18"/>
        <v>0</v>
      </c>
      <c r="K132" s="2"/>
      <c r="L132" s="2">
        <f t="shared" si="19"/>
        <v>0</v>
      </c>
      <c r="M132" s="2"/>
      <c r="N132" s="19">
        <f t="shared" si="20"/>
        <v>0</v>
      </c>
      <c r="O132" s="11"/>
      <c r="P132" s="2"/>
      <c r="Q132" s="2"/>
      <c r="R132" s="19">
        <f t="shared" si="21"/>
        <v>0</v>
      </c>
      <c r="S132" s="2"/>
      <c r="T132" s="2">
        <v>0</v>
      </c>
      <c r="U132" s="2"/>
      <c r="V132" s="19">
        <f t="shared" si="22"/>
        <v>0</v>
      </c>
      <c r="W132" s="2"/>
      <c r="X132" s="2">
        <f t="shared" si="23"/>
        <v>0</v>
      </c>
      <c r="Y132" s="2"/>
      <c r="Z132" s="19">
        <f t="shared" si="24"/>
        <v>0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10"/>
      <c r="B134" s="25" t="s">
        <v>107</v>
      </c>
      <c r="C134" s="25"/>
      <c r="D134" s="21">
        <f>D12-D90</f>
        <v>256742.40999999997</v>
      </c>
      <c r="E134" s="13"/>
      <c r="F134" s="22">
        <f>IF(D$12=0,0,D134/D$12)</f>
        <v>0.33812476323158841</v>
      </c>
      <c r="G134" s="13"/>
      <c r="H134" s="21">
        <f>H12-H90</f>
        <v>139518.31000000029</v>
      </c>
      <c r="I134" s="13"/>
      <c r="J134" s="22">
        <f>IF(H$12=0,0,H134/H$12)</f>
        <v>0.22048072681644054</v>
      </c>
      <c r="K134" s="16"/>
      <c r="L134" s="21">
        <f>+D134-H134</f>
        <v>117224.09999999969</v>
      </c>
      <c r="M134" s="16"/>
      <c r="N134" s="22">
        <f>IF(H134=0,0,L134/H134)</f>
        <v>0.84020584825030808</v>
      </c>
      <c r="O134" s="26"/>
      <c r="P134" s="21">
        <f>P12-P90</f>
        <v>934790.94000000018</v>
      </c>
      <c r="Q134" s="13"/>
      <c r="R134" s="22">
        <f>IF(P$12=0,0,P134/P$12)</f>
        <v>0.31890139628481534</v>
      </c>
      <c r="S134" s="13"/>
      <c r="T134" s="21">
        <f>T12-T90</f>
        <v>778674.52999999933</v>
      </c>
      <c r="U134" s="13"/>
      <c r="V134" s="22">
        <f>IF(T$12=0,0,T134/T$12)</f>
        <v>0.24663562421264523</v>
      </c>
      <c r="W134" s="16"/>
      <c r="X134" s="21">
        <f>+P134-T134</f>
        <v>156116.41000000085</v>
      </c>
      <c r="Y134" s="16"/>
      <c r="Z134" s="22">
        <f>IF(T134=0,0,X134/T134)</f>
        <v>0.20048994025783914</v>
      </c>
    </row>
    <row r="135" spans="1:26" x14ac:dyDescent="0.25">
      <c r="A135" s="9"/>
      <c r="B135" s="10"/>
      <c r="C135" s="9"/>
      <c r="D135" s="1"/>
      <c r="E135" s="1"/>
      <c r="F135" s="5"/>
      <c r="G135" s="1"/>
      <c r="H135" s="1"/>
      <c r="I135" s="1"/>
      <c r="J135" s="5"/>
      <c r="K135" s="1"/>
      <c r="L135" s="1"/>
      <c r="M135" s="1"/>
      <c r="N135" s="5"/>
      <c r="O135" s="37"/>
      <c r="P135" s="1"/>
      <c r="Q135" s="1"/>
      <c r="R135" s="5"/>
      <c r="S135" s="1"/>
      <c r="T135" s="1"/>
      <c r="U135" s="1"/>
      <c r="V135" s="5"/>
      <c r="W135" s="1"/>
      <c r="X135" s="1"/>
      <c r="Y135" s="1"/>
      <c r="Z135" s="5"/>
    </row>
    <row r="136" spans="1:26" s="23" customFormat="1" x14ac:dyDescent="0.25">
      <c r="A136" s="10"/>
      <c r="B136" s="26" t="s">
        <v>294</v>
      </c>
      <c r="C136" s="10"/>
      <c r="D136" s="20">
        <f>SUM(OSRRefD22x_0)</f>
        <v>304069.21999999997</v>
      </c>
      <c r="E136" s="20"/>
      <c r="F136" s="30">
        <f t="shared" ref="F136:F147" si="25">IF(D$12=0,0,D136/D$12)</f>
        <v>0.40045325202997734</v>
      </c>
      <c r="G136" s="20"/>
      <c r="H136" s="20">
        <f>SUM(OSRRefH22x_0)</f>
        <v>272125.67000000004</v>
      </c>
      <c r="I136" s="20"/>
      <c r="J136" s="30">
        <f t="shared" ref="J136:J147" si="26">IF(H$12=0,0,H136/H$12)</f>
        <v>0.43004008224447915</v>
      </c>
      <c r="K136" s="4"/>
      <c r="L136" s="20">
        <f t="shared" ref="L136:L147" si="27">+D136-H136</f>
        <v>31943.54999999993</v>
      </c>
      <c r="M136" s="4"/>
      <c r="N136" s="30">
        <f t="shared" ref="N136:N147" si="28">IF(H136=0,0,L136/H136)</f>
        <v>0.11738528746663233</v>
      </c>
      <c r="O136" s="10"/>
      <c r="P136" s="20">
        <f>SUM(OSRRefP22x_0)</f>
        <v>1038387.0399999999</v>
      </c>
      <c r="Q136" s="20"/>
      <c r="R136" s="30">
        <f t="shared" ref="R136:R147" si="29">IF(P$12=0,0,P136/P$12)</f>
        <v>0.35424292509730176</v>
      </c>
      <c r="S136" s="20"/>
      <c r="T136" s="20">
        <f>SUM(OSRRefT22x_0)</f>
        <v>841529.84</v>
      </c>
      <c r="U136" s="20"/>
      <c r="V136" s="30">
        <f t="shared" ref="V136:V147" si="30">IF(T$12=0,0,T136/T$12)</f>
        <v>0.26654427412948467</v>
      </c>
      <c r="W136" s="4"/>
      <c r="X136" s="20">
        <f t="shared" ref="X136:X147" si="31">+P136-T136</f>
        <v>196857.19999999995</v>
      </c>
      <c r="Y136" s="4"/>
      <c r="Z136" s="30">
        <f t="shared" ref="Z136:Z147" si="32">IF(T136=0,0,X136/T136)</f>
        <v>0.23392777135508344</v>
      </c>
    </row>
    <row r="137" spans="1:26" s="27" customFormat="1" outlineLevel="1" collapsed="1" x14ac:dyDescent="0.25">
      <c r="A137" s="29"/>
      <c r="B137" s="14" t="str">
        <f>CONCATENATE("     ","*Benefits                                         ")</f>
        <v xml:space="preserve">     *Benefits                                         </v>
      </c>
      <c r="C137" s="14"/>
      <c r="D137" s="1">
        <f>SUM(OSRRefD22_0x_0)</f>
        <v>47590.890000000014</v>
      </c>
      <c r="E137" s="1"/>
      <c r="F137" s="5">
        <f t="shared" si="25"/>
        <v>6.267627702501731E-2</v>
      </c>
      <c r="G137" s="1"/>
      <c r="H137" s="1">
        <f>SUM(OSRRefH22_0x_0)</f>
        <v>49795.060000000005</v>
      </c>
      <c r="I137" s="1"/>
      <c r="J137" s="5">
        <f t="shared" si="26"/>
        <v>7.869111244730706E-2</v>
      </c>
      <c r="K137" s="1"/>
      <c r="L137" s="1">
        <f t="shared" si="27"/>
        <v>-2204.169999999991</v>
      </c>
      <c r="M137" s="1"/>
      <c r="N137" s="5">
        <f t="shared" si="28"/>
        <v>-4.4264832696255224E-2</v>
      </c>
      <c r="O137" s="14"/>
      <c r="P137" s="1">
        <f>SUM(OSRRefP22_0x_0)</f>
        <v>150272.32999999999</v>
      </c>
      <c r="Q137" s="1"/>
      <c r="R137" s="5">
        <f t="shared" si="29"/>
        <v>5.1264998203740114E-2</v>
      </c>
      <c r="S137" s="1"/>
      <c r="T137" s="1">
        <f>SUM(OSRRefT22_0x_0)</f>
        <v>141479.31000000003</v>
      </c>
      <c r="U137" s="1"/>
      <c r="V137" s="5">
        <f t="shared" si="30"/>
        <v>4.4811839338092102E-2</v>
      </c>
      <c r="W137" s="1"/>
      <c r="X137" s="1">
        <f t="shared" si="31"/>
        <v>8793.0199999999604</v>
      </c>
      <c r="Y137" s="1"/>
      <c r="Z137" s="5">
        <f t="shared" si="32"/>
        <v>6.2150571698433917E-2</v>
      </c>
    </row>
    <row r="138" spans="1:26" s="24" customFormat="1" hidden="1" outlineLevel="2" x14ac:dyDescent="0.25">
      <c r="A138" s="28"/>
      <c r="B138" s="11" t="str">
        <f>CONCATENATE("          ", "6111", " - ", "F.I.C.A.")</f>
        <v xml:space="preserve">          6111 - F.I.C.A.</v>
      </c>
      <c r="C138" s="11"/>
      <c r="D138" s="7">
        <v>8148.35</v>
      </c>
      <c r="E138" s="2"/>
      <c r="F138" s="6">
        <f t="shared" si="25"/>
        <v>1.0731218556677543E-2</v>
      </c>
      <c r="G138" s="2"/>
      <c r="H138" s="7">
        <v>11834.62</v>
      </c>
      <c r="I138" s="2"/>
      <c r="J138" s="6">
        <f t="shared" si="26"/>
        <v>1.8702245025734462E-2</v>
      </c>
      <c r="K138" s="2"/>
      <c r="L138" s="7">
        <f t="shared" si="27"/>
        <v>-3686.2700000000004</v>
      </c>
      <c r="M138" s="2"/>
      <c r="N138" s="6">
        <f t="shared" si="28"/>
        <v>-0.31148190647439461</v>
      </c>
      <c r="O138" s="11"/>
      <c r="P138" s="7">
        <v>31156.63</v>
      </c>
      <c r="Q138" s="2"/>
      <c r="R138" s="6">
        <f t="shared" si="29"/>
        <v>1.0628999902940185E-2</v>
      </c>
      <c r="S138" s="2"/>
      <c r="T138" s="7">
        <v>31176.39</v>
      </c>
      <c r="U138" s="2"/>
      <c r="V138" s="6">
        <f t="shared" si="30"/>
        <v>9.8747398458594472E-3</v>
      </c>
      <c r="W138" s="2"/>
      <c r="X138" s="7">
        <f t="shared" si="31"/>
        <v>-19.759999999998399</v>
      </c>
      <c r="Y138" s="2"/>
      <c r="Z138" s="6">
        <f t="shared" si="32"/>
        <v>-6.3381295910137122E-4</v>
      </c>
    </row>
    <row r="139" spans="1:26" s="24" customFormat="1" hidden="1" outlineLevel="2" x14ac:dyDescent="0.25">
      <c r="A139" s="28"/>
      <c r="B139" s="11" t="str">
        <f>CONCATENATE("          ", "6112", " - ", "COMPENSATION INSURANCE")</f>
        <v xml:space="preserve">          6112 - COMPENSATION INSURANCE</v>
      </c>
      <c r="C139" s="11"/>
      <c r="D139" s="7">
        <v>2621.37</v>
      </c>
      <c r="E139" s="2"/>
      <c r="F139" s="6">
        <f t="shared" si="25"/>
        <v>3.4522933339777755E-3</v>
      </c>
      <c r="G139" s="2"/>
      <c r="H139" s="7">
        <v>4238.91</v>
      </c>
      <c r="I139" s="2"/>
      <c r="J139" s="6">
        <f t="shared" si="26"/>
        <v>6.6987476963380364E-3</v>
      </c>
      <c r="K139" s="2"/>
      <c r="L139" s="7">
        <f t="shared" si="27"/>
        <v>-1617.54</v>
      </c>
      <c r="M139" s="2"/>
      <c r="N139" s="6">
        <f t="shared" si="28"/>
        <v>-0.38159338131736698</v>
      </c>
      <c r="O139" s="11"/>
      <c r="P139" s="7">
        <v>7424.52</v>
      </c>
      <c r="Q139" s="2"/>
      <c r="R139" s="6">
        <f t="shared" si="29"/>
        <v>2.5328548806266104E-3</v>
      </c>
      <c r="S139" s="2"/>
      <c r="T139" s="7">
        <v>8526.9500000000007</v>
      </c>
      <c r="U139" s="2"/>
      <c r="V139" s="6">
        <f t="shared" si="30"/>
        <v>2.7008070186654459E-3</v>
      </c>
      <c r="W139" s="2"/>
      <c r="X139" s="7">
        <f t="shared" si="31"/>
        <v>-1102.4300000000003</v>
      </c>
      <c r="Y139" s="2"/>
      <c r="Z139" s="6">
        <f t="shared" si="32"/>
        <v>-0.12928772890658444</v>
      </c>
    </row>
    <row r="140" spans="1:26" s="24" customFormat="1" hidden="1" outlineLevel="2" x14ac:dyDescent="0.25">
      <c r="A140" s="28"/>
      <c r="B140" s="11" t="str">
        <f>CONCATENATE("          ", "6113", " - ", "GROUP INSURANCE")</f>
        <v xml:space="preserve">          6113 - GROUP INSURANCE</v>
      </c>
      <c r="C140" s="11"/>
      <c r="D140" s="7">
        <v>18116.18</v>
      </c>
      <c r="E140" s="2"/>
      <c r="F140" s="6">
        <f t="shared" si="25"/>
        <v>2.385865690503115E-2</v>
      </c>
      <c r="G140" s="2"/>
      <c r="H140" s="7">
        <v>15816.61</v>
      </c>
      <c r="I140" s="2"/>
      <c r="J140" s="6">
        <f t="shared" si="26"/>
        <v>2.499498215375584E-2</v>
      </c>
      <c r="K140" s="2"/>
      <c r="L140" s="7">
        <f t="shared" si="27"/>
        <v>2299.5699999999997</v>
      </c>
      <c r="M140" s="2"/>
      <c r="N140" s="6">
        <f t="shared" si="28"/>
        <v>0.14538956198578581</v>
      </c>
      <c r="O140" s="11"/>
      <c r="P140" s="7">
        <v>54903.1</v>
      </c>
      <c r="Q140" s="2"/>
      <c r="R140" s="6">
        <f t="shared" si="29"/>
        <v>1.8730043800344109E-2</v>
      </c>
      <c r="S140" s="2"/>
      <c r="T140" s="7">
        <v>46892.06</v>
      </c>
      <c r="U140" s="2"/>
      <c r="V140" s="6">
        <f t="shared" si="30"/>
        <v>1.4852485914386877E-2</v>
      </c>
      <c r="W140" s="2"/>
      <c r="X140" s="7">
        <f t="shared" si="31"/>
        <v>8011.0400000000009</v>
      </c>
      <c r="Y140" s="2"/>
      <c r="Z140" s="6">
        <f t="shared" si="32"/>
        <v>0.17084001001448862</v>
      </c>
    </row>
    <row r="141" spans="1:26" s="24" customFormat="1" hidden="1" outlineLevel="2" x14ac:dyDescent="0.25">
      <c r="A141" s="28"/>
      <c r="B141" s="11" t="str">
        <f>CONCATENATE("          ", "6114", " - ", "STATE UNEMPLOYMENT INSURANCE")</f>
        <v xml:space="preserve">          6114 - STATE UNEMPLOYMENT INSURANCE</v>
      </c>
      <c r="C141" s="11"/>
      <c r="D141" s="7">
        <v>473.03</v>
      </c>
      <c r="E141" s="2"/>
      <c r="F141" s="6">
        <f t="shared" si="25"/>
        <v>6.2297131491224325E-4</v>
      </c>
      <c r="G141" s="2"/>
      <c r="H141" s="7">
        <v>511.26</v>
      </c>
      <c r="I141" s="2"/>
      <c r="J141" s="6">
        <f t="shared" si="26"/>
        <v>8.0794396371467771E-4</v>
      </c>
      <c r="K141" s="2"/>
      <c r="L141" s="7">
        <f t="shared" si="27"/>
        <v>-38.230000000000018</v>
      </c>
      <c r="M141" s="2"/>
      <c r="N141" s="6">
        <f t="shared" si="28"/>
        <v>-7.4776043500371661E-2</v>
      </c>
      <c r="O141" s="11"/>
      <c r="P141" s="7">
        <v>1342.12</v>
      </c>
      <c r="Q141" s="2"/>
      <c r="R141" s="6">
        <f t="shared" si="29"/>
        <v>4.5786060141080981E-4</v>
      </c>
      <c r="S141" s="2"/>
      <c r="T141" s="7">
        <v>1194.46</v>
      </c>
      <c r="U141" s="2"/>
      <c r="V141" s="6">
        <f t="shared" si="30"/>
        <v>3.7833058145235145E-4</v>
      </c>
      <c r="W141" s="2"/>
      <c r="X141" s="7">
        <f t="shared" si="31"/>
        <v>147.65999999999985</v>
      </c>
      <c r="Y141" s="2"/>
      <c r="Z141" s="6">
        <f t="shared" si="32"/>
        <v>0.12362071563719157</v>
      </c>
    </row>
    <row r="142" spans="1:26" s="24" customFormat="1" hidden="1" outlineLevel="2" x14ac:dyDescent="0.25">
      <c r="A142" s="28"/>
      <c r="B142" s="11" t="str">
        <f>CONCATENATE("          ", "6115", " - ", "P.E.R.S.")</f>
        <v xml:space="preserve">          6115 - P.E.R.S.</v>
      </c>
      <c r="C142" s="11"/>
      <c r="D142" s="7">
        <v>6395.48</v>
      </c>
      <c r="E142" s="2"/>
      <c r="F142" s="6">
        <f t="shared" si="25"/>
        <v>8.4227228401897412E-3</v>
      </c>
      <c r="G142" s="2"/>
      <c r="H142" s="7">
        <v>6106.89</v>
      </c>
      <c r="I142" s="2"/>
      <c r="J142" s="6">
        <f t="shared" si="26"/>
        <v>9.6507157074082247E-3</v>
      </c>
      <c r="K142" s="2"/>
      <c r="L142" s="7">
        <f t="shared" si="27"/>
        <v>288.58999999999924</v>
      </c>
      <c r="M142" s="2"/>
      <c r="N142" s="6">
        <f t="shared" si="28"/>
        <v>4.7256459507212217E-2</v>
      </c>
      <c r="O142" s="11"/>
      <c r="P142" s="7">
        <v>19221.09</v>
      </c>
      <c r="Q142" s="2"/>
      <c r="R142" s="6">
        <f t="shared" si="29"/>
        <v>6.5572227723089613E-3</v>
      </c>
      <c r="S142" s="2"/>
      <c r="T142" s="7">
        <v>20862</v>
      </c>
      <c r="U142" s="2"/>
      <c r="V142" s="6">
        <f t="shared" si="30"/>
        <v>6.6077830904835285E-3</v>
      </c>
      <c r="W142" s="2"/>
      <c r="X142" s="7">
        <f t="shared" si="31"/>
        <v>-1640.9099999999999</v>
      </c>
      <c r="Y142" s="2"/>
      <c r="Z142" s="6">
        <f t="shared" si="32"/>
        <v>-7.8655450100661481E-2</v>
      </c>
    </row>
    <row r="143" spans="1:26" s="24" customFormat="1" hidden="1" outlineLevel="2" x14ac:dyDescent="0.25">
      <c r="A143" s="28"/>
      <c r="B143" s="11" t="str">
        <f>CONCATENATE("          ", "6116", " - ", "EDUCATIONAL BENEFITS")</f>
        <v xml:space="preserve">          6116 - EDUCATIONAL BENEFITS</v>
      </c>
      <c r="C143" s="11"/>
      <c r="D143" s="7"/>
      <c r="E143" s="2"/>
      <c r="F143" s="6">
        <f t="shared" si="25"/>
        <v>0</v>
      </c>
      <c r="G143" s="2"/>
      <c r="H143" s="7"/>
      <c r="I143" s="2"/>
      <c r="J143" s="6">
        <f t="shared" si="26"/>
        <v>0</v>
      </c>
      <c r="K143" s="2"/>
      <c r="L143" s="7">
        <f t="shared" si="27"/>
        <v>0</v>
      </c>
      <c r="M143" s="2"/>
      <c r="N143" s="6">
        <f t="shared" si="28"/>
        <v>0</v>
      </c>
      <c r="O143" s="11"/>
      <c r="P143" s="7"/>
      <c r="Q143" s="2"/>
      <c r="R143" s="6">
        <f t="shared" si="29"/>
        <v>0</v>
      </c>
      <c r="S143" s="2"/>
      <c r="T143" s="7">
        <v>0</v>
      </c>
      <c r="U143" s="2"/>
      <c r="V143" s="6">
        <f t="shared" si="30"/>
        <v>0</v>
      </c>
      <c r="W143" s="2"/>
      <c r="X143" s="7">
        <f t="shared" si="31"/>
        <v>0</v>
      </c>
      <c r="Y143" s="2"/>
      <c r="Z143" s="6">
        <f t="shared" si="32"/>
        <v>0</v>
      </c>
    </row>
    <row r="144" spans="1:26" s="24" customFormat="1" hidden="1" outlineLevel="2" x14ac:dyDescent="0.25">
      <c r="A144" s="28"/>
      <c r="B144" s="11" t="str">
        <f>CONCATENATE("          ", "6117", " - ", "RETIREMENT STAFF HOURLY")</f>
        <v xml:space="preserve">          6117 - RETIREMENT STAFF HOURLY</v>
      </c>
      <c r="C144" s="11"/>
      <c r="D144" s="7">
        <v>484.12</v>
      </c>
      <c r="E144" s="2"/>
      <c r="F144" s="6">
        <f t="shared" si="25"/>
        <v>6.3757662933707209E-4</v>
      </c>
      <c r="G144" s="2"/>
      <c r="H144" s="7">
        <v>434.71</v>
      </c>
      <c r="I144" s="2"/>
      <c r="J144" s="6">
        <f t="shared" si="26"/>
        <v>6.869720307992168E-4</v>
      </c>
      <c r="K144" s="2"/>
      <c r="L144" s="7">
        <f t="shared" si="27"/>
        <v>49.410000000000025</v>
      </c>
      <c r="M144" s="2"/>
      <c r="N144" s="6">
        <f t="shared" si="28"/>
        <v>0.11366198155091907</v>
      </c>
      <c r="O144" s="11"/>
      <c r="P144" s="7">
        <v>2222.35</v>
      </c>
      <c r="Q144" s="2"/>
      <c r="R144" s="6">
        <f t="shared" si="29"/>
        <v>7.5814868085216918E-4</v>
      </c>
      <c r="S144" s="2"/>
      <c r="T144" s="7">
        <v>1461.58</v>
      </c>
      <c r="U144" s="2"/>
      <c r="V144" s="6">
        <f t="shared" si="30"/>
        <v>4.6293757115276171E-4</v>
      </c>
      <c r="W144" s="2"/>
      <c r="X144" s="7">
        <f t="shared" si="31"/>
        <v>760.77</v>
      </c>
      <c r="Y144" s="2"/>
      <c r="Z144" s="6">
        <f t="shared" si="32"/>
        <v>0.52051204860493439</v>
      </c>
    </row>
    <row r="145" spans="1:26" s="24" customFormat="1" hidden="1" outlineLevel="2" x14ac:dyDescent="0.25">
      <c r="A145" s="28"/>
      <c r="B145" s="11" t="str">
        <f>CONCATENATE("          ", "6118", " - ", "VACATION")</f>
        <v xml:space="preserve">          6118 - VACATION</v>
      </c>
      <c r="C145" s="11"/>
      <c r="D145" s="7">
        <v>4797.8</v>
      </c>
      <c r="E145" s="2"/>
      <c r="F145" s="6">
        <f t="shared" si="25"/>
        <v>6.318609337010255E-3</v>
      </c>
      <c r="G145" s="2"/>
      <c r="H145" s="7">
        <v>4962.71</v>
      </c>
      <c r="I145" s="2"/>
      <c r="J145" s="6">
        <f t="shared" si="26"/>
        <v>7.8425685329704432E-3</v>
      </c>
      <c r="K145" s="2"/>
      <c r="L145" s="7">
        <f t="shared" si="27"/>
        <v>-164.90999999999985</v>
      </c>
      <c r="M145" s="2"/>
      <c r="N145" s="6">
        <f t="shared" si="28"/>
        <v>-3.3229828057653954E-2</v>
      </c>
      <c r="O145" s="11"/>
      <c r="P145" s="7">
        <v>15877.89</v>
      </c>
      <c r="Q145" s="2"/>
      <c r="R145" s="6">
        <f t="shared" si="29"/>
        <v>5.4166991509959489E-3</v>
      </c>
      <c r="S145" s="2"/>
      <c r="T145" s="7">
        <v>15202.97</v>
      </c>
      <c r="U145" s="2"/>
      <c r="V145" s="6">
        <f t="shared" si="30"/>
        <v>4.8153546204164682E-3</v>
      </c>
      <c r="W145" s="2"/>
      <c r="X145" s="7">
        <f t="shared" si="31"/>
        <v>674.92000000000007</v>
      </c>
      <c r="Y145" s="2"/>
      <c r="Z145" s="6">
        <f t="shared" si="32"/>
        <v>4.4393957233356381E-2</v>
      </c>
    </row>
    <row r="146" spans="1:26" s="24" customFormat="1" hidden="1" outlineLevel="2" x14ac:dyDescent="0.25">
      <c r="A146" s="28"/>
      <c r="B146" s="11" t="str">
        <f>CONCATENATE("          ", "6119", " - ", "SICK LEAVE")</f>
        <v xml:space="preserve">          6119 - SICK LEAVE</v>
      </c>
      <c r="C146" s="11"/>
      <c r="D146" s="7">
        <v>4045.97</v>
      </c>
      <c r="E146" s="2"/>
      <c r="F146" s="6">
        <f t="shared" si="25"/>
        <v>5.3284638416072746E-3</v>
      </c>
      <c r="G146" s="2"/>
      <c r="H146" s="7">
        <v>3779.84</v>
      </c>
      <c r="I146" s="2"/>
      <c r="J146" s="6">
        <f t="shared" si="26"/>
        <v>5.9732795677488711E-3</v>
      </c>
      <c r="K146" s="2"/>
      <c r="L146" s="7">
        <f t="shared" si="27"/>
        <v>266.12999999999965</v>
      </c>
      <c r="M146" s="2"/>
      <c r="N146" s="6">
        <f t="shared" si="28"/>
        <v>7.0407742126650769E-2</v>
      </c>
      <c r="O146" s="11"/>
      <c r="P146" s="7">
        <v>11973.05</v>
      </c>
      <c r="Q146" s="2"/>
      <c r="R146" s="6">
        <f t="shared" si="29"/>
        <v>4.0845735654946626E-3</v>
      </c>
      <c r="S146" s="2"/>
      <c r="T146" s="7">
        <v>11248.17</v>
      </c>
      <c r="U146" s="2"/>
      <c r="V146" s="6">
        <f t="shared" si="30"/>
        <v>3.5627201382841586E-3</v>
      </c>
      <c r="W146" s="2"/>
      <c r="X146" s="7">
        <f t="shared" si="31"/>
        <v>724.8799999999992</v>
      </c>
      <c r="Y146" s="2"/>
      <c r="Z146" s="6">
        <f t="shared" si="32"/>
        <v>6.4444260710853338E-2</v>
      </c>
    </row>
    <row r="147" spans="1:26" s="24" customFormat="1" hidden="1" outlineLevel="2" x14ac:dyDescent="0.25">
      <c r="A147" s="28"/>
      <c r="B147" s="11" t="str">
        <f>CONCATENATE("          ", "6156", " - ", "EMPLOYEE MEALS")</f>
        <v xml:space="preserve">          6156 - EMPLOYEE MEALS</v>
      </c>
      <c r="C147" s="11"/>
      <c r="D147" s="7">
        <v>2508.59</v>
      </c>
      <c r="E147" s="2"/>
      <c r="F147" s="6">
        <f t="shared" si="25"/>
        <v>3.3037642662742416E-3</v>
      </c>
      <c r="G147" s="2"/>
      <c r="H147" s="7">
        <v>2109.5100000000002</v>
      </c>
      <c r="I147" s="2"/>
      <c r="J147" s="6">
        <f t="shared" si="26"/>
        <v>3.3336577688372845E-3</v>
      </c>
      <c r="K147" s="2"/>
      <c r="L147" s="7">
        <f t="shared" si="27"/>
        <v>399.07999999999993</v>
      </c>
      <c r="M147" s="2"/>
      <c r="N147" s="6">
        <f t="shared" si="28"/>
        <v>0.18918137387355352</v>
      </c>
      <c r="O147" s="11"/>
      <c r="P147" s="7">
        <v>6151.58</v>
      </c>
      <c r="Q147" s="2"/>
      <c r="R147" s="6">
        <f t="shared" si="29"/>
        <v>2.0985948487666599E-3</v>
      </c>
      <c r="S147" s="2"/>
      <c r="T147" s="7">
        <v>4914.7299999999996</v>
      </c>
      <c r="U147" s="2"/>
      <c r="V147" s="6">
        <f t="shared" si="30"/>
        <v>1.5566805573910512E-3</v>
      </c>
      <c r="W147" s="2"/>
      <c r="X147" s="7">
        <f t="shared" si="31"/>
        <v>1236.8500000000004</v>
      </c>
      <c r="Y147" s="2"/>
      <c r="Z147" s="6">
        <f t="shared" si="32"/>
        <v>0.25166184103704586</v>
      </c>
    </row>
    <row r="148" spans="1:26" s="27" customFormat="1" outlineLevel="1" collapsed="1" x14ac:dyDescent="0.25">
      <c r="A148" s="29"/>
      <c r="B148" s="14" t="str">
        <f>CONCATENATE("     ","*Payroll                                          ")</f>
        <v xml:space="preserve">     *Payroll                                          </v>
      </c>
      <c r="C148" s="14"/>
      <c r="D148" s="1">
        <f>SUM(OSRRefD22_1x_0)</f>
        <v>168420.47</v>
      </c>
      <c r="E148" s="1"/>
      <c r="F148" s="5">
        <f t="shared" ref="F148:F155" si="33">IF(D$12=0,0,D148/D$12)</f>
        <v>0.22180648511518938</v>
      </c>
      <c r="G148" s="1"/>
      <c r="H148" s="1">
        <f>SUM(OSRRefH22_1x_0)</f>
        <v>127866.67999999998</v>
      </c>
      <c r="I148" s="1"/>
      <c r="J148" s="5">
        <f t="shared" ref="J148:J155" si="34">IF(H$12=0,0,H148/H$12)</f>
        <v>0.20206766081100869</v>
      </c>
      <c r="K148" s="1"/>
      <c r="L148" s="1">
        <f t="shared" ref="L148:L155" si="35">+D148-H148</f>
        <v>40553.790000000023</v>
      </c>
      <c r="M148" s="1"/>
      <c r="N148" s="5">
        <f t="shared" ref="N148:N155" si="36">IF(H148=0,0,L148/H148)</f>
        <v>0.31715682302848586</v>
      </c>
      <c r="O148" s="14"/>
      <c r="P148" s="1">
        <f>SUM(OSRRefP22_1x_0)</f>
        <v>541162.25</v>
      </c>
      <c r="Q148" s="1"/>
      <c r="R148" s="5">
        <f t="shared" ref="R148:R155" si="37">IF(P$12=0,0,P148/P$12)</f>
        <v>0.18461603526199374</v>
      </c>
      <c r="S148" s="1"/>
      <c r="T148" s="1">
        <f>SUM(OSRRefT22_1x_0)</f>
        <v>423987.74000000005</v>
      </c>
      <c r="U148" s="1"/>
      <c r="V148" s="5">
        <f t="shared" ref="V148:V155" si="38">IF(T$12=0,0,T148/T$12)</f>
        <v>0.13429292584336722</v>
      </c>
      <c r="W148" s="1"/>
      <c r="X148" s="1">
        <f t="shared" ref="X148:X155" si="39">+P148-T148</f>
        <v>117174.50999999995</v>
      </c>
      <c r="Y148" s="1"/>
      <c r="Z148" s="5">
        <f t="shared" ref="Z148:Z155" si="40">IF(T148=0,0,X148/T148)</f>
        <v>0.27636296747637074</v>
      </c>
    </row>
    <row r="149" spans="1:26" s="24" customFormat="1" hidden="1" outlineLevel="2" x14ac:dyDescent="0.25">
      <c r="A149" s="28"/>
      <c r="B149" s="11" t="str">
        <f>CONCATENATE("          ", "6001", " - ", "ADMINISTRATIVE SALARIES")</f>
        <v xml:space="preserve">          6001 - ADMINISTRATIVE SALARIES</v>
      </c>
      <c r="C149" s="11"/>
      <c r="D149" s="7">
        <v>4479.1000000000004</v>
      </c>
      <c r="E149" s="2"/>
      <c r="F149" s="6">
        <f t="shared" si="33"/>
        <v>5.8988876321236054E-3</v>
      </c>
      <c r="G149" s="2"/>
      <c r="H149" s="7">
        <v>4205.74</v>
      </c>
      <c r="I149" s="2"/>
      <c r="J149" s="6">
        <f t="shared" si="34"/>
        <v>6.6463291592406383E-3</v>
      </c>
      <c r="K149" s="2"/>
      <c r="L149" s="7">
        <f t="shared" si="35"/>
        <v>273.36000000000058</v>
      </c>
      <c r="M149" s="2"/>
      <c r="N149" s="6">
        <f t="shared" si="36"/>
        <v>6.4996885209261765E-2</v>
      </c>
      <c r="O149" s="11"/>
      <c r="P149" s="7">
        <v>14557.3</v>
      </c>
      <c r="Q149" s="2"/>
      <c r="R149" s="6">
        <f t="shared" si="37"/>
        <v>4.9661834507477584E-3</v>
      </c>
      <c r="S149" s="2"/>
      <c r="T149" s="7">
        <v>12937.33</v>
      </c>
      <c r="U149" s="2"/>
      <c r="V149" s="6">
        <f t="shared" si="38"/>
        <v>4.097740888218065E-3</v>
      </c>
      <c r="W149" s="2"/>
      <c r="X149" s="7">
        <f t="shared" si="39"/>
        <v>1619.9699999999993</v>
      </c>
      <c r="Y149" s="2"/>
      <c r="Z149" s="6">
        <f t="shared" si="40"/>
        <v>0.12521671782353849</v>
      </c>
    </row>
    <row r="150" spans="1:26" s="24" customFormat="1" hidden="1" outlineLevel="2" x14ac:dyDescent="0.25">
      <c r="A150" s="28"/>
      <c r="B150" s="11" t="str">
        <f>CONCATENATE("          ", "6002", " - ", "STAFF SALARIES")</f>
        <v xml:space="preserve">          6002 - STAFF SALARIES</v>
      </c>
      <c r="C150" s="11"/>
      <c r="D150" s="7">
        <v>60625.02</v>
      </c>
      <c r="E150" s="2"/>
      <c r="F150" s="6">
        <f t="shared" si="33"/>
        <v>7.9841972868488362E-2</v>
      </c>
      <c r="G150" s="2"/>
      <c r="H150" s="7">
        <v>55721.02</v>
      </c>
      <c r="I150" s="2"/>
      <c r="J150" s="6">
        <f t="shared" si="34"/>
        <v>8.8055904551548783E-2</v>
      </c>
      <c r="K150" s="2"/>
      <c r="L150" s="7">
        <f t="shared" si="35"/>
        <v>4904</v>
      </c>
      <c r="M150" s="2"/>
      <c r="N150" s="6">
        <f t="shared" si="36"/>
        <v>8.800987490896614E-2</v>
      </c>
      <c r="O150" s="11"/>
      <c r="P150" s="7">
        <v>194005.39</v>
      </c>
      <c r="Q150" s="2"/>
      <c r="R150" s="6">
        <f t="shared" si="37"/>
        <v>6.6184413124265137E-2</v>
      </c>
      <c r="S150" s="2"/>
      <c r="T150" s="7">
        <v>178895.32</v>
      </c>
      <c r="U150" s="2"/>
      <c r="V150" s="6">
        <f t="shared" si="38"/>
        <v>5.6662902428465146E-2</v>
      </c>
      <c r="W150" s="2"/>
      <c r="X150" s="7">
        <f t="shared" si="39"/>
        <v>15110.070000000007</v>
      </c>
      <c r="Y150" s="2"/>
      <c r="Z150" s="6">
        <f t="shared" si="40"/>
        <v>8.4463193335633416E-2</v>
      </c>
    </row>
    <row r="151" spans="1:26" s="24" customFormat="1" hidden="1" outlineLevel="2" x14ac:dyDescent="0.25">
      <c r="A151" s="28"/>
      <c r="B151" s="11" t="str">
        <f>CONCATENATE("          ", "6004", " - ", "STAFF HOURLY")</f>
        <v xml:space="preserve">          6004 - STAFF HOURLY</v>
      </c>
      <c r="C151" s="11"/>
      <c r="D151" s="7">
        <v>25738.89</v>
      </c>
      <c r="E151" s="2"/>
      <c r="F151" s="6">
        <f t="shared" si="33"/>
        <v>3.3897617799466394E-2</v>
      </c>
      <c r="G151" s="2"/>
      <c r="H151" s="7">
        <v>19602.669999999998</v>
      </c>
      <c r="I151" s="2"/>
      <c r="J151" s="6">
        <f t="shared" si="34"/>
        <v>3.0978091184897708E-2</v>
      </c>
      <c r="K151" s="2"/>
      <c r="L151" s="7">
        <f t="shared" si="35"/>
        <v>6136.2200000000012</v>
      </c>
      <c r="M151" s="2"/>
      <c r="N151" s="6">
        <f t="shared" si="36"/>
        <v>0.31302980665388958</v>
      </c>
      <c r="O151" s="11"/>
      <c r="P151" s="7">
        <v>65221.919999999998</v>
      </c>
      <c r="Q151" s="2"/>
      <c r="R151" s="6">
        <f t="shared" si="37"/>
        <v>2.2250281283616759E-2</v>
      </c>
      <c r="S151" s="2"/>
      <c r="T151" s="7">
        <v>56027.26</v>
      </c>
      <c r="U151" s="2"/>
      <c r="V151" s="6">
        <f t="shared" si="38"/>
        <v>1.7745948673862727E-2</v>
      </c>
      <c r="W151" s="2"/>
      <c r="X151" s="7">
        <f t="shared" si="39"/>
        <v>9194.6599999999962</v>
      </c>
      <c r="Y151" s="2"/>
      <c r="Z151" s="6">
        <f t="shared" si="40"/>
        <v>0.16411047051024796</v>
      </c>
    </row>
    <row r="152" spans="1:26" s="24" customFormat="1" hidden="1" outlineLevel="2" x14ac:dyDescent="0.25">
      <c r="A152" s="28"/>
      <c r="B152" s="11" t="str">
        <f>CONCATENATE("          ", "6005", " - ", "TEMPORARY WAGES-HOURLY")</f>
        <v xml:space="preserve">          6005 - TEMPORARY WAGES-HOURLY</v>
      </c>
      <c r="C152" s="11"/>
      <c r="D152" s="7">
        <v>10113.4</v>
      </c>
      <c r="E152" s="2"/>
      <c r="F152" s="6">
        <f t="shared" si="33"/>
        <v>1.3319151208662202E-2</v>
      </c>
      <c r="G152" s="2"/>
      <c r="H152" s="7">
        <v>25841.46</v>
      </c>
      <c r="I152" s="2"/>
      <c r="J152" s="6">
        <f t="shared" si="34"/>
        <v>4.083724840702245E-2</v>
      </c>
      <c r="K152" s="2"/>
      <c r="L152" s="7">
        <f t="shared" si="35"/>
        <v>-15728.06</v>
      </c>
      <c r="M152" s="2"/>
      <c r="N152" s="6">
        <f t="shared" si="36"/>
        <v>-0.60863666371791691</v>
      </c>
      <c r="O152" s="11"/>
      <c r="P152" s="7">
        <v>29183.99</v>
      </c>
      <c r="Q152" s="2"/>
      <c r="R152" s="6">
        <f t="shared" si="37"/>
        <v>9.9560391119773647E-3</v>
      </c>
      <c r="S152" s="2"/>
      <c r="T152" s="7">
        <v>60732.5</v>
      </c>
      <c r="U152" s="2"/>
      <c r="V152" s="6">
        <f t="shared" si="38"/>
        <v>1.9236275838500187E-2</v>
      </c>
      <c r="W152" s="2"/>
      <c r="X152" s="7">
        <f t="shared" si="39"/>
        <v>-31548.51</v>
      </c>
      <c r="Y152" s="2"/>
      <c r="Z152" s="6">
        <f t="shared" si="40"/>
        <v>-0.51946667764376564</v>
      </c>
    </row>
    <row r="153" spans="1:26" s="24" customFormat="1" hidden="1" outlineLevel="2" x14ac:dyDescent="0.25">
      <c r="A153" s="28"/>
      <c r="B153" s="11" t="str">
        <f>CONCATENATE("          ", "6006", " - ", "TEMPORARY PART TIME")</f>
        <v xml:space="preserve">          6006 - TEMPORARY PART TIME</v>
      </c>
      <c r="C153" s="11"/>
      <c r="D153" s="7">
        <v>2957.46</v>
      </c>
      <c r="E153" s="2"/>
      <c r="F153" s="6">
        <f t="shared" si="33"/>
        <v>3.8949173308254511E-3</v>
      </c>
      <c r="G153" s="2"/>
      <c r="H153" s="7">
        <v>1728.86</v>
      </c>
      <c r="I153" s="2"/>
      <c r="J153" s="6">
        <f t="shared" si="34"/>
        <v>2.7321167333798023E-3</v>
      </c>
      <c r="K153" s="2"/>
      <c r="L153" s="7">
        <f t="shared" si="35"/>
        <v>1228.6000000000001</v>
      </c>
      <c r="M153" s="2"/>
      <c r="N153" s="6">
        <f t="shared" si="36"/>
        <v>0.71064169452702952</v>
      </c>
      <c r="O153" s="11"/>
      <c r="P153" s="7">
        <v>9095.65</v>
      </c>
      <c r="Q153" s="2"/>
      <c r="R153" s="6">
        <f t="shared" si="37"/>
        <v>3.1029563520566213E-3</v>
      </c>
      <c r="S153" s="2"/>
      <c r="T153" s="7">
        <v>5704.41</v>
      </c>
      <c r="U153" s="2"/>
      <c r="V153" s="6">
        <f t="shared" si="38"/>
        <v>1.806802029488311E-3</v>
      </c>
      <c r="W153" s="2"/>
      <c r="X153" s="7">
        <f t="shared" si="39"/>
        <v>3391.24</v>
      </c>
      <c r="Y153" s="2"/>
      <c r="Z153" s="6">
        <f t="shared" si="40"/>
        <v>0.59449443500730137</v>
      </c>
    </row>
    <row r="154" spans="1:26" s="24" customFormat="1" hidden="1" outlineLevel="2" x14ac:dyDescent="0.25">
      <c r="A154" s="28"/>
      <c r="B154" s="11" t="str">
        <f>CONCATENATE("          ", "6007", " - ", "STUDENT HOURLY")</f>
        <v xml:space="preserve">          6007 - STUDENT HOURLY</v>
      </c>
      <c r="C154" s="11"/>
      <c r="D154" s="7">
        <v>53703.839999999997</v>
      </c>
      <c r="E154" s="2"/>
      <c r="F154" s="6">
        <f t="shared" si="33"/>
        <v>7.0726913347222642E-2</v>
      </c>
      <c r="G154" s="2"/>
      <c r="H154" s="7">
        <v>19711.259999999998</v>
      </c>
      <c r="I154" s="2"/>
      <c r="J154" s="6">
        <f t="shared" si="34"/>
        <v>3.1149695916384185E-2</v>
      </c>
      <c r="K154" s="2"/>
      <c r="L154" s="7">
        <f t="shared" si="35"/>
        <v>33992.58</v>
      </c>
      <c r="M154" s="2"/>
      <c r="N154" s="6">
        <f t="shared" si="36"/>
        <v>1.7245259815963061</v>
      </c>
      <c r="O154" s="11"/>
      <c r="P154" s="7">
        <v>193074.04</v>
      </c>
      <c r="Q154" s="2"/>
      <c r="R154" s="6">
        <f t="shared" si="37"/>
        <v>6.5866685595337801E-2</v>
      </c>
      <c r="S154" s="2"/>
      <c r="T154" s="7">
        <v>108202.22</v>
      </c>
      <c r="U154" s="2"/>
      <c r="V154" s="6">
        <f t="shared" si="38"/>
        <v>3.4271728485705047E-2</v>
      </c>
      <c r="W154" s="2"/>
      <c r="X154" s="7">
        <f t="shared" si="39"/>
        <v>84871.82</v>
      </c>
      <c r="Y154" s="2"/>
      <c r="Z154" s="6">
        <f t="shared" si="40"/>
        <v>0.78438150344789603</v>
      </c>
    </row>
    <row r="155" spans="1:26" s="24" customFormat="1" hidden="1" outlineLevel="2" x14ac:dyDescent="0.25">
      <c r="A155" s="28"/>
      <c r="B155" s="11" t="str">
        <f>CONCATENATE("          ", "6008", " - ", "STUDENT HOURLY-FICA EXEMPT")</f>
        <v xml:space="preserve">          6008 - STUDENT HOURLY-FICA EXEMPT</v>
      </c>
      <c r="C155" s="11"/>
      <c r="D155" s="7">
        <v>10802.76</v>
      </c>
      <c r="E155" s="2"/>
      <c r="F155" s="6">
        <f t="shared" si="33"/>
        <v>1.4227024928400705E-2</v>
      </c>
      <c r="G155" s="2"/>
      <c r="H155" s="7">
        <v>1055.67</v>
      </c>
      <c r="I155" s="2"/>
      <c r="J155" s="6">
        <f t="shared" si="34"/>
        <v>1.6682748585351366E-3</v>
      </c>
      <c r="K155" s="2"/>
      <c r="L155" s="7">
        <f t="shared" si="35"/>
        <v>9747.09</v>
      </c>
      <c r="M155" s="2"/>
      <c r="N155" s="6">
        <f t="shared" si="36"/>
        <v>9.2330842024496285</v>
      </c>
      <c r="O155" s="11"/>
      <c r="P155" s="7">
        <v>36023.96</v>
      </c>
      <c r="Q155" s="2"/>
      <c r="R155" s="6">
        <f t="shared" si="37"/>
        <v>1.2289476343992309E-2</v>
      </c>
      <c r="S155" s="2"/>
      <c r="T155" s="7">
        <v>1488.7</v>
      </c>
      <c r="U155" s="2"/>
      <c r="V155" s="6">
        <f t="shared" si="38"/>
        <v>4.7152749912773606E-4</v>
      </c>
      <c r="W155" s="2"/>
      <c r="X155" s="7">
        <f t="shared" si="39"/>
        <v>34535.26</v>
      </c>
      <c r="Y155" s="2"/>
      <c r="Z155" s="6">
        <f t="shared" si="40"/>
        <v>23.198266944313833</v>
      </c>
    </row>
    <row r="156" spans="1:26" s="27" customFormat="1" outlineLevel="1" collapsed="1" x14ac:dyDescent="0.25">
      <c r="A156" s="29"/>
      <c r="B156" s="14" t="str">
        <f>CONCATENATE("     ","Advertising/Promo                                 ")</f>
        <v xml:space="preserve">     Advertising/Promo                                 </v>
      </c>
      <c r="C156" s="14"/>
      <c r="D156" s="1">
        <f>SUM(OSRRefD22_2x_0)</f>
        <v>183.03</v>
      </c>
      <c r="E156" s="1"/>
      <c r="F156" s="5">
        <f t="shared" ref="F156:F164" si="41">IF(D$12=0,0,D156/D$12)</f>
        <v>2.4104695213493412E-4</v>
      </c>
      <c r="G156" s="1"/>
      <c r="H156" s="1">
        <f>SUM(OSRRefH22_2x_0)</f>
        <v>391.39</v>
      </c>
      <c r="I156" s="1"/>
      <c r="J156" s="5">
        <f t="shared" ref="J156:J164" si="42">IF(H$12=0,0,H156/H$12)</f>
        <v>6.1851345295600615E-4</v>
      </c>
      <c r="K156" s="1"/>
      <c r="L156" s="1">
        <f t="shared" ref="L156:L164" si="43">+D156-H156</f>
        <v>-208.35999999999999</v>
      </c>
      <c r="M156" s="1"/>
      <c r="N156" s="5">
        <f t="shared" ref="N156:N164" si="44">IF(H156=0,0,L156/H156)</f>
        <v>-0.53235902807940927</v>
      </c>
      <c r="O156" s="14"/>
      <c r="P156" s="1">
        <f>SUM(OSRRefP22_2x_0)</f>
        <v>2304.2399999999998</v>
      </c>
      <c r="Q156" s="1"/>
      <c r="R156" s="5">
        <f t="shared" ref="R156:R164" si="45">IF(P$12=0,0,P156/P$12)</f>
        <v>7.8608523246419422E-4</v>
      </c>
      <c r="S156" s="1"/>
      <c r="T156" s="1">
        <f>SUM(OSRRefT22_2x_0)</f>
        <v>12642.47</v>
      </c>
      <c r="U156" s="1"/>
      <c r="V156" s="5">
        <f t="shared" ref="V156:V164" si="46">IF(T$12=0,0,T156/T$12)</f>
        <v>4.0043475931332223E-3</v>
      </c>
      <c r="W156" s="1"/>
      <c r="X156" s="1">
        <f t="shared" ref="X156:X164" si="47">+P156-T156</f>
        <v>-10338.23</v>
      </c>
      <c r="Y156" s="1"/>
      <c r="Z156" s="5">
        <f t="shared" ref="Z156:Z164" si="48">IF(T156=0,0,X156/T156)</f>
        <v>-0.81773814768791231</v>
      </c>
    </row>
    <row r="157" spans="1:26" s="24" customFormat="1" hidden="1" outlineLevel="2" x14ac:dyDescent="0.25">
      <c r="A157" s="28"/>
      <c r="B157" s="11" t="str">
        <f>CONCATENATE("          ", "6362", " - ", "ADVERTISING EXPENSE")</f>
        <v xml:space="preserve">          6362 - ADVERTISING EXPENSE</v>
      </c>
      <c r="C157" s="11"/>
      <c r="D157" s="7">
        <v>183.03</v>
      </c>
      <c r="E157" s="2"/>
      <c r="F157" s="6">
        <f t="shared" si="41"/>
        <v>2.4104695213493412E-4</v>
      </c>
      <c r="G157" s="2"/>
      <c r="H157" s="7">
        <v>391.39</v>
      </c>
      <c r="I157" s="2"/>
      <c r="J157" s="6">
        <f t="shared" si="42"/>
        <v>6.1851345295600615E-4</v>
      </c>
      <c r="K157" s="2"/>
      <c r="L157" s="7">
        <f t="shared" si="43"/>
        <v>-208.35999999999999</v>
      </c>
      <c r="M157" s="2"/>
      <c r="N157" s="6">
        <f t="shared" si="44"/>
        <v>-0.53235902807940927</v>
      </c>
      <c r="O157" s="11"/>
      <c r="P157" s="7">
        <v>2304.2399999999998</v>
      </c>
      <c r="Q157" s="2"/>
      <c r="R157" s="6">
        <f t="shared" si="45"/>
        <v>7.8608523246419422E-4</v>
      </c>
      <c r="S157" s="2"/>
      <c r="T157" s="7">
        <v>12642.47</v>
      </c>
      <c r="U157" s="2"/>
      <c r="V157" s="6">
        <f t="shared" si="46"/>
        <v>4.0043475931332223E-3</v>
      </c>
      <c r="W157" s="2"/>
      <c r="X157" s="7">
        <f t="shared" si="47"/>
        <v>-10338.23</v>
      </c>
      <c r="Y157" s="2"/>
      <c r="Z157" s="6">
        <f t="shared" si="48"/>
        <v>-0.81773814768791231</v>
      </c>
    </row>
    <row r="158" spans="1:26" s="27" customFormat="1" outlineLevel="1" collapsed="1" x14ac:dyDescent="0.25">
      <c r="A158" s="29"/>
      <c r="B158" s="14" t="str">
        <f>CONCATENATE("     ","Bad Debts/Over/Short                              ")</f>
        <v xml:space="preserve">     Bad Debts/Over/Short                              </v>
      </c>
      <c r="C158" s="14"/>
      <c r="D158" s="1">
        <f>SUM(OSRRefD22_3x_0)</f>
        <v>96.88</v>
      </c>
      <c r="E158" s="1"/>
      <c r="F158" s="5">
        <f t="shared" si="41"/>
        <v>1.2758907677884728E-4</v>
      </c>
      <c r="G158" s="1"/>
      <c r="H158" s="1">
        <f>SUM(OSRRefH22_3x_0)</f>
        <v>8.2200000000000006</v>
      </c>
      <c r="I158" s="1"/>
      <c r="J158" s="5">
        <f t="shared" si="42"/>
        <v>1.2990062554736635E-5</v>
      </c>
      <c r="K158" s="1"/>
      <c r="L158" s="1">
        <f t="shared" si="43"/>
        <v>88.66</v>
      </c>
      <c r="M158" s="1"/>
      <c r="N158" s="5">
        <f t="shared" si="44"/>
        <v>10.78588807785888</v>
      </c>
      <c r="O158" s="14"/>
      <c r="P158" s="1">
        <f>SUM(OSRRefP22_3x_0)</f>
        <v>248.91</v>
      </c>
      <c r="Q158" s="1"/>
      <c r="R158" s="5">
        <f t="shared" si="45"/>
        <v>8.4914972057017758E-5</v>
      </c>
      <c r="S158" s="1"/>
      <c r="T158" s="1">
        <f>SUM(OSRRefT22_3x_0)</f>
        <v>80.010000000000005</v>
      </c>
      <c r="U158" s="1"/>
      <c r="V158" s="5">
        <f t="shared" si="46"/>
        <v>2.5342187952717245E-5</v>
      </c>
      <c r="W158" s="1"/>
      <c r="X158" s="1">
        <f t="shared" si="47"/>
        <v>168.89999999999998</v>
      </c>
      <c r="Y158" s="1"/>
      <c r="Z158" s="5">
        <f t="shared" si="48"/>
        <v>2.1109861267341579</v>
      </c>
    </row>
    <row r="159" spans="1:26" s="24" customFormat="1" hidden="1" outlineLevel="2" x14ac:dyDescent="0.25">
      <c r="A159" s="28"/>
      <c r="B159" s="11" t="str">
        <f>CONCATENATE("          ", "6272", " - ", "CASH (OVER/SHORT)")</f>
        <v xml:space="preserve">          6272 - CASH (OVER/SHORT)</v>
      </c>
      <c r="C159" s="11"/>
      <c r="D159" s="7">
        <v>96.88</v>
      </c>
      <c r="E159" s="2"/>
      <c r="F159" s="6">
        <f t="shared" si="41"/>
        <v>1.2758907677884728E-4</v>
      </c>
      <c r="G159" s="2"/>
      <c r="H159" s="7">
        <v>8.2200000000000006</v>
      </c>
      <c r="I159" s="2"/>
      <c r="J159" s="6">
        <f t="shared" si="42"/>
        <v>1.2990062554736635E-5</v>
      </c>
      <c r="K159" s="2"/>
      <c r="L159" s="7">
        <f t="shared" si="43"/>
        <v>88.66</v>
      </c>
      <c r="M159" s="2"/>
      <c r="N159" s="6">
        <f t="shared" si="44"/>
        <v>10.78588807785888</v>
      </c>
      <c r="O159" s="11"/>
      <c r="P159" s="7">
        <v>248.91</v>
      </c>
      <c r="Q159" s="2"/>
      <c r="R159" s="6">
        <f t="shared" si="45"/>
        <v>8.4914972057017758E-5</v>
      </c>
      <c r="S159" s="2"/>
      <c r="T159" s="7">
        <v>80.010000000000005</v>
      </c>
      <c r="U159" s="2"/>
      <c r="V159" s="6">
        <f t="shared" si="46"/>
        <v>2.5342187952717245E-5</v>
      </c>
      <c r="W159" s="2"/>
      <c r="X159" s="7">
        <f t="shared" si="47"/>
        <v>168.89999999999998</v>
      </c>
      <c r="Y159" s="2"/>
      <c r="Z159" s="6">
        <f t="shared" si="48"/>
        <v>2.1109861267341579</v>
      </c>
    </row>
    <row r="160" spans="1:26" s="27" customFormat="1" outlineLevel="1" collapsed="1" x14ac:dyDescent="0.25">
      <c r="A160" s="29"/>
      <c r="B160" s="14" t="str">
        <f>CONCATENATE("     ","Bank/card Fees                                    ")</f>
        <v xml:space="preserve">     Bank/card Fees                                    </v>
      </c>
      <c r="C160" s="14"/>
      <c r="D160" s="1">
        <f>SUM(OSRRefD22_4x_0)</f>
        <v>10623.99</v>
      </c>
      <c r="E160" s="1"/>
      <c r="F160" s="5">
        <f t="shared" si="41"/>
        <v>1.3991588313456912E-2</v>
      </c>
      <c r="G160" s="1"/>
      <c r="H160" s="1">
        <f>SUM(OSRRefH22_4x_0)</f>
        <v>9050.2199999999993</v>
      </c>
      <c r="I160" s="1"/>
      <c r="J160" s="5">
        <f t="shared" si="42"/>
        <v>1.4302058872765033E-2</v>
      </c>
      <c r="K160" s="1"/>
      <c r="L160" s="1">
        <f t="shared" si="43"/>
        <v>1573.7700000000004</v>
      </c>
      <c r="M160" s="1"/>
      <c r="N160" s="5">
        <f t="shared" si="44"/>
        <v>0.1738930103356604</v>
      </c>
      <c r="O160" s="14"/>
      <c r="P160" s="1">
        <f>SUM(OSRRefP22_4x_0)</f>
        <v>37588.69</v>
      </c>
      <c r="Q160" s="1"/>
      <c r="R160" s="5">
        <f t="shared" si="45"/>
        <v>1.2823279743722242E-2</v>
      </c>
      <c r="S160" s="1"/>
      <c r="T160" s="1">
        <f>SUM(OSRRefT22_4x_0)</f>
        <v>34247.769999999997</v>
      </c>
      <c r="U160" s="1"/>
      <c r="V160" s="5">
        <f t="shared" si="46"/>
        <v>1.0847561858535569E-2</v>
      </c>
      <c r="W160" s="1"/>
      <c r="X160" s="1">
        <f t="shared" si="47"/>
        <v>3340.9200000000055</v>
      </c>
      <c r="Y160" s="1"/>
      <c r="Z160" s="5">
        <f t="shared" si="48"/>
        <v>9.7551461014834126E-2</v>
      </c>
    </row>
    <row r="161" spans="1:26" s="24" customFormat="1" hidden="1" outlineLevel="2" x14ac:dyDescent="0.25">
      <c r="A161" s="28"/>
      <c r="B161" s="11" t="str">
        <f>CONCATENATE("          ", "6381", " - ", "BANK/CREDIT CARD FEES")</f>
        <v xml:space="preserve">          6381 - BANK/CREDIT CARD FEES</v>
      </c>
      <c r="C161" s="11"/>
      <c r="D161" s="7">
        <v>10623.99</v>
      </c>
      <c r="E161" s="2"/>
      <c r="F161" s="6">
        <f t="shared" si="41"/>
        <v>1.3991588313456912E-2</v>
      </c>
      <c r="G161" s="2"/>
      <c r="H161" s="7">
        <v>9050.2199999999993</v>
      </c>
      <c r="I161" s="2"/>
      <c r="J161" s="6">
        <f t="shared" si="42"/>
        <v>1.4302058872765033E-2</v>
      </c>
      <c r="K161" s="2"/>
      <c r="L161" s="7">
        <f t="shared" si="43"/>
        <v>1573.7700000000004</v>
      </c>
      <c r="M161" s="2"/>
      <c r="N161" s="6">
        <f t="shared" si="44"/>
        <v>0.1738930103356604</v>
      </c>
      <c r="O161" s="11"/>
      <c r="P161" s="7">
        <v>37588.69</v>
      </c>
      <c r="Q161" s="2"/>
      <c r="R161" s="6">
        <f t="shared" si="45"/>
        <v>1.2823279743722242E-2</v>
      </c>
      <c r="S161" s="2"/>
      <c r="T161" s="7">
        <v>34247.769999999997</v>
      </c>
      <c r="U161" s="2"/>
      <c r="V161" s="6">
        <f t="shared" si="46"/>
        <v>1.0847561858535569E-2</v>
      </c>
      <c r="W161" s="2"/>
      <c r="X161" s="7">
        <f t="shared" si="47"/>
        <v>3340.9200000000055</v>
      </c>
      <c r="Y161" s="2"/>
      <c r="Z161" s="6">
        <f t="shared" si="48"/>
        <v>9.7551461014834126E-2</v>
      </c>
    </row>
    <row r="162" spans="1:26" s="27" customFormat="1" outlineLevel="1" collapsed="1" x14ac:dyDescent="0.25">
      <c r="A162" s="29"/>
      <c r="B162" s="14" t="str">
        <f>CONCATENATE("     ","Depreciation                                      ")</f>
        <v xml:space="preserve">     Depreciation                                      </v>
      </c>
      <c r="C162" s="14"/>
      <c r="D162" s="1">
        <f>SUM(OSRRefD22_5x_0)</f>
        <v>31001.120000000003</v>
      </c>
      <c r="E162" s="1"/>
      <c r="F162" s="5">
        <f t="shared" si="41"/>
        <v>4.0827872418561707E-2</v>
      </c>
      <c r="G162" s="1"/>
      <c r="H162" s="1">
        <f>SUM(OSRRefH22_5x_0)</f>
        <v>31347.279999999999</v>
      </c>
      <c r="I162" s="1"/>
      <c r="J162" s="5">
        <f t="shared" si="42"/>
        <v>4.9538093445358221E-2</v>
      </c>
      <c r="K162" s="1"/>
      <c r="L162" s="1">
        <f t="shared" si="43"/>
        <v>-346.15999999999622</v>
      </c>
      <c r="M162" s="1"/>
      <c r="N162" s="5">
        <f t="shared" si="44"/>
        <v>-1.104274437845951E-2</v>
      </c>
      <c r="O162" s="14"/>
      <c r="P162" s="1">
        <f>SUM(OSRRefP22_5x_0)</f>
        <v>93003.36</v>
      </c>
      <c r="Q162" s="1"/>
      <c r="R162" s="5">
        <f t="shared" si="45"/>
        <v>3.172784426342358E-2</v>
      </c>
      <c r="S162" s="1"/>
      <c r="T162" s="1">
        <f>SUM(OSRRefT22_5x_0)</f>
        <v>93344.35</v>
      </c>
      <c r="U162" s="1"/>
      <c r="V162" s="5">
        <f t="shared" si="46"/>
        <v>2.9565680065294614E-2</v>
      </c>
      <c r="W162" s="1"/>
      <c r="X162" s="1">
        <f t="shared" si="47"/>
        <v>-340.99000000000524</v>
      </c>
      <c r="Y162" s="1"/>
      <c r="Z162" s="5">
        <f t="shared" si="48"/>
        <v>-3.6530330973433872E-3</v>
      </c>
    </row>
    <row r="163" spans="1:26" s="24" customFormat="1" hidden="1" outlineLevel="2" x14ac:dyDescent="0.25">
      <c r="A163" s="28"/>
      <c r="B163" s="11" t="str">
        <f>CONCATENATE("          ", "6321", " - ", "BUILDING DEPRECIATION")</f>
        <v xml:space="preserve">          6321 - BUILDING DEPRECIATION</v>
      </c>
      <c r="C163" s="11"/>
      <c r="D163" s="7">
        <v>16396.52</v>
      </c>
      <c r="E163" s="2"/>
      <c r="F163" s="6">
        <f t="shared" si="41"/>
        <v>2.1593898112984157E-2</v>
      </c>
      <c r="G163" s="2"/>
      <c r="H163" s="7">
        <v>16396.52</v>
      </c>
      <c r="I163" s="2"/>
      <c r="J163" s="6">
        <f t="shared" si="42"/>
        <v>2.5911413683697117E-2</v>
      </c>
      <c r="K163" s="2"/>
      <c r="L163" s="7">
        <f t="shared" si="43"/>
        <v>0</v>
      </c>
      <c r="M163" s="2"/>
      <c r="N163" s="6">
        <f t="shared" si="44"/>
        <v>0</v>
      </c>
      <c r="O163" s="11"/>
      <c r="P163" s="7">
        <v>49189.56</v>
      </c>
      <c r="Q163" s="2"/>
      <c r="R163" s="6">
        <f t="shared" si="45"/>
        <v>1.6780885110670517E-2</v>
      </c>
      <c r="S163" s="2"/>
      <c r="T163" s="7">
        <v>49189.56</v>
      </c>
      <c r="U163" s="2"/>
      <c r="V163" s="6">
        <f t="shared" si="46"/>
        <v>1.5580190911529334E-2</v>
      </c>
      <c r="W163" s="2"/>
      <c r="X163" s="7">
        <f t="shared" si="47"/>
        <v>0</v>
      </c>
      <c r="Y163" s="2"/>
      <c r="Z163" s="6">
        <f t="shared" si="48"/>
        <v>0</v>
      </c>
    </row>
    <row r="164" spans="1:26" s="24" customFormat="1" hidden="1" outlineLevel="2" x14ac:dyDescent="0.25">
      <c r="A164" s="28"/>
      <c r="B164" s="11" t="str">
        <f>CONCATENATE("          ", "6322", " - ", "EQUIPMENT DEPRECIATION EXPENSE")</f>
        <v xml:space="preserve">          6322 - EQUIPMENT DEPRECIATION EXPENSE</v>
      </c>
      <c r="C164" s="11"/>
      <c r="D164" s="7">
        <v>14604.6</v>
      </c>
      <c r="E164" s="2"/>
      <c r="F164" s="6">
        <f t="shared" si="41"/>
        <v>1.923397430557755E-2</v>
      </c>
      <c r="G164" s="2"/>
      <c r="H164" s="7">
        <v>14950.76</v>
      </c>
      <c r="I164" s="2"/>
      <c r="J164" s="6">
        <f t="shared" si="42"/>
        <v>2.3626679761661103E-2</v>
      </c>
      <c r="K164" s="2"/>
      <c r="L164" s="7">
        <f t="shared" si="43"/>
        <v>-346.15999999999985</v>
      </c>
      <c r="M164" s="2"/>
      <c r="N164" s="6">
        <f t="shared" si="44"/>
        <v>-2.315333802428772E-2</v>
      </c>
      <c r="O164" s="11"/>
      <c r="P164" s="7">
        <v>43813.8</v>
      </c>
      <c r="Q164" s="2"/>
      <c r="R164" s="6">
        <f t="shared" si="45"/>
        <v>1.4946959152753065E-2</v>
      </c>
      <c r="S164" s="2"/>
      <c r="T164" s="7">
        <v>44154.79</v>
      </c>
      <c r="U164" s="2"/>
      <c r="V164" s="6">
        <f t="shared" si="46"/>
        <v>1.3985489153765277E-2</v>
      </c>
      <c r="W164" s="2"/>
      <c r="X164" s="7">
        <f t="shared" si="47"/>
        <v>-340.98999999999796</v>
      </c>
      <c r="Y164" s="2"/>
      <c r="Z164" s="6">
        <f t="shared" si="48"/>
        <v>-7.722604954071754E-3</v>
      </c>
    </row>
    <row r="165" spans="1:26" s="27" customFormat="1" outlineLevel="1" collapsed="1" x14ac:dyDescent="0.25">
      <c r="A165" s="29"/>
      <c r="B165" s="14" t="str">
        <f>CONCATENATE("     ","Discounts and Markdowns                           ")</f>
        <v xml:space="preserve">     Discounts and Markdowns                           </v>
      </c>
      <c r="C165" s="14"/>
      <c r="D165" s="1">
        <f>SUM(OSRRefD22_6x_0)</f>
        <v>135.49</v>
      </c>
      <c r="E165" s="1"/>
      <c r="F165" s="5">
        <f t="shared" ref="F165:F167" si="49">IF(D$12=0,0,D165/D$12)</f>
        <v>1.7843769625068147E-4</v>
      </c>
      <c r="G165" s="1"/>
      <c r="H165" s="1">
        <f>SUM(OSRRefH22_6x_0)</f>
        <v>830.95</v>
      </c>
      <c r="I165" s="1"/>
      <c r="J165" s="5">
        <f t="shared" ref="J165:J167" si="50">IF(H$12=0,0,H165/H$12)</f>
        <v>1.3131499367224338E-3</v>
      </c>
      <c r="K165" s="1"/>
      <c r="L165" s="1">
        <f t="shared" ref="L165:L167" si="51">+D165-H165</f>
        <v>-695.46</v>
      </c>
      <c r="M165" s="1"/>
      <c r="N165" s="5">
        <f t="shared" ref="N165:N167" si="52">IF(H165=0,0,L165/H165)</f>
        <v>-0.83694566460075814</v>
      </c>
      <c r="O165" s="14"/>
      <c r="P165" s="1">
        <f>SUM(OSRRefP22_6x_0)</f>
        <v>-22.49</v>
      </c>
      <c r="Q165" s="1"/>
      <c r="R165" s="5">
        <f t="shared" ref="R165:R167" si="53">IF(P$12=0,0,P165/P$12)</f>
        <v>-7.6724025614170967E-6</v>
      </c>
      <c r="S165" s="1"/>
      <c r="T165" s="1">
        <f>SUM(OSRRefT22_6x_0)</f>
        <v>830.95</v>
      </c>
      <c r="U165" s="1"/>
      <c r="V165" s="5">
        <f t="shared" ref="V165:V167" si="54">IF(T$12=0,0,T165/T$12)</f>
        <v>2.6319323933646287E-4</v>
      </c>
      <c r="W165" s="1"/>
      <c r="X165" s="1">
        <f t="shared" ref="X165:X167" si="55">+P165-T165</f>
        <v>-853.44</v>
      </c>
      <c r="Y165" s="1"/>
      <c r="Z165" s="5">
        <f t="shared" ref="Z165:Z167" si="56">IF(T165=0,0,X165/T165)</f>
        <v>-1.0270654070642036</v>
      </c>
    </row>
    <row r="166" spans="1:26" s="24" customFormat="1" hidden="1" outlineLevel="2" x14ac:dyDescent="0.25">
      <c r="A166" s="28"/>
      <c r="B166" s="11" t="str">
        <f>CONCATENATE("          ", "6382", " - ", "DISCOUNTS/MARK DOWNS")</f>
        <v xml:space="preserve">          6382 - DISCOUNTS/MARK DOWNS</v>
      </c>
      <c r="C166" s="11"/>
      <c r="D166" s="7"/>
      <c r="E166" s="2"/>
      <c r="F166" s="6">
        <f t="shared" si="49"/>
        <v>0</v>
      </c>
      <c r="G166" s="2"/>
      <c r="H166" s="7">
        <v>830.95</v>
      </c>
      <c r="I166" s="2"/>
      <c r="J166" s="6">
        <f t="shared" si="50"/>
        <v>1.3131499367224338E-3</v>
      </c>
      <c r="K166" s="2"/>
      <c r="L166" s="7">
        <f t="shared" si="51"/>
        <v>-830.95</v>
      </c>
      <c r="M166" s="2"/>
      <c r="N166" s="6">
        <f t="shared" si="52"/>
        <v>-1</v>
      </c>
      <c r="O166" s="11"/>
      <c r="P166" s="7"/>
      <c r="Q166" s="2"/>
      <c r="R166" s="6">
        <f t="shared" si="53"/>
        <v>0</v>
      </c>
      <c r="S166" s="2"/>
      <c r="T166" s="7">
        <v>830.95</v>
      </c>
      <c r="U166" s="2"/>
      <c r="V166" s="6">
        <f t="shared" si="54"/>
        <v>2.6319323933646287E-4</v>
      </c>
      <c r="W166" s="2"/>
      <c r="X166" s="7">
        <f t="shared" si="55"/>
        <v>-830.95</v>
      </c>
      <c r="Y166" s="2"/>
      <c r="Z166" s="6">
        <f t="shared" si="56"/>
        <v>-1</v>
      </c>
    </row>
    <row r="167" spans="1:26" s="24" customFormat="1" hidden="1" outlineLevel="2" x14ac:dyDescent="0.25">
      <c r="A167" s="28"/>
      <c r="B167" s="11" t="str">
        <f>CONCATENATE("          ", "9175", " - ", "EARNED DISCOUNTS")</f>
        <v xml:space="preserve">          9175 - EARNED DISCOUNTS</v>
      </c>
      <c r="C167" s="11"/>
      <c r="D167" s="7">
        <v>135.49</v>
      </c>
      <c r="E167" s="2"/>
      <c r="F167" s="6">
        <f t="shared" si="49"/>
        <v>1.7843769625068147E-4</v>
      </c>
      <c r="G167" s="2"/>
      <c r="H167" s="7"/>
      <c r="I167" s="2"/>
      <c r="J167" s="6">
        <f t="shared" si="50"/>
        <v>0</v>
      </c>
      <c r="K167" s="2"/>
      <c r="L167" s="7">
        <f t="shared" si="51"/>
        <v>135.49</v>
      </c>
      <c r="M167" s="2"/>
      <c r="N167" s="6">
        <f t="shared" si="52"/>
        <v>0</v>
      </c>
      <c r="O167" s="11"/>
      <c r="P167" s="7">
        <v>-22.49</v>
      </c>
      <c r="Q167" s="2"/>
      <c r="R167" s="6">
        <f t="shared" si="53"/>
        <v>-7.6724025614170967E-6</v>
      </c>
      <c r="S167" s="2"/>
      <c r="T167" s="7"/>
      <c r="U167" s="2"/>
      <c r="V167" s="6">
        <f t="shared" si="54"/>
        <v>0</v>
      </c>
      <c r="W167" s="2"/>
      <c r="X167" s="7">
        <f t="shared" si="55"/>
        <v>-22.49</v>
      </c>
      <c r="Y167" s="2"/>
      <c r="Z167" s="6">
        <f t="shared" si="56"/>
        <v>0</v>
      </c>
    </row>
    <row r="168" spans="1:26" s="27" customFormat="1" outlineLevel="1" collapsed="1" x14ac:dyDescent="0.25">
      <c r="A168" s="29"/>
      <c r="B168" s="14" t="str">
        <f>CONCATENATE("     ","Employees' Appreciation                           ")</f>
        <v xml:space="preserve">     Employees' Appreciation                           </v>
      </c>
      <c r="C168" s="14"/>
      <c r="D168" s="1">
        <f>SUM(OSRRefD22_7x_0)</f>
        <v>447.27</v>
      </c>
      <c r="E168" s="1"/>
      <c r="F168" s="5">
        <f t="shared" ref="F168:F174" si="57">IF(D$12=0,0,D168/D$12)</f>
        <v>5.8904589565312779E-4</v>
      </c>
      <c r="G168" s="1"/>
      <c r="H168" s="1">
        <f>SUM(OSRRefH22_7x_0)</f>
        <v>0</v>
      </c>
      <c r="I168" s="1"/>
      <c r="J168" s="5">
        <f t="shared" ref="J168:J174" si="58">IF(H$12=0,0,H168/H$12)</f>
        <v>0</v>
      </c>
      <c r="K168" s="1"/>
      <c r="L168" s="1">
        <f t="shared" ref="L168:L174" si="59">+D168-H168</f>
        <v>447.27</v>
      </c>
      <c r="M168" s="1"/>
      <c r="N168" s="5">
        <f t="shared" ref="N168:N174" si="60">IF(H168=0,0,L168/H168)</f>
        <v>0</v>
      </c>
      <c r="O168" s="14"/>
      <c r="P168" s="1">
        <f>SUM(OSRRefP22_7x_0)</f>
        <v>1384.63</v>
      </c>
      <c r="Q168" s="1"/>
      <c r="R168" s="5">
        <f t="shared" ref="R168:R174" si="61">IF(P$12=0,0,P168/P$12)</f>
        <v>4.723627727263208E-4</v>
      </c>
      <c r="S168" s="1"/>
      <c r="T168" s="1">
        <f>SUM(OSRRefT22_7x_0)</f>
        <v>107.7</v>
      </c>
      <c r="U168" s="1"/>
      <c r="V168" s="5">
        <f t="shared" ref="V168:V174" si="62">IF(T$12=0,0,T168/T$12)</f>
        <v>3.4112656449289425E-5</v>
      </c>
      <c r="W168" s="1"/>
      <c r="X168" s="1">
        <f t="shared" ref="X168:X174" si="63">+P168-T168</f>
        <v>1276.93</v>
      </c>
      <c r="Y168" s="1"/>
      <c r="Z168" s="5">
        <f t="shared" ref="Z168:Z174" si="64">IF(T168=0,0,X168/T168)</f>
        <v>11.856360259981431</v>
      </c>
    </row>
    <row r="169" spans="1:26" s="24" customFormat="1" hidden="1" outlineLevel="2" x14ac:dyDescent="0.25">
      <c r="A169" s="28"/>
      <c r="B169" s="11" t="str">
        <f>CONCATENATE("          ", "6277", " - ", "EMPLOYEE APPRECIATION")</f>
        <v xml:space="preserve">          6277 - EMPLOYEE APPRECIATION</v>
      </c>
      <c r="C169" s="11"/>
      <c r="D169" s="7">
        <v>447.27</v>
      </c>
      <c r="E169" s="2"/>
      <c r="F169" s="6">
        <f t="shared" si="57"/>
        <v>5.8904589565312779E-4</v>
      </c>
      <c r="G169" s="2"/>
      <c r="H169" s="7"/>
      <c r="I169" s="2"/>
      <c r="J169" s="6">
        <f t="shared" si="58"/>
        <v>0</v>
      </c>
      <c r="K169" s="2"/>
      <c r="L169" s="7">
        <f t="shared" si="59"/>
        <v>447.27</v>
      </c>
      <c r="M169" s="2"/>
      <c r="N169" s="6">
        <f t="shared" si="60"/>
        <v>0</v>
      </c>
      <c r="O169" s="11"/>
      <c r="P169" s="7">
        <v>1384.63</v>
      </c>
      <c r="Q169" s="2"/>
      <c r="R169" s="6">
        <f t="shared" si="61"/>
        <v>4.723627727263208E-4</v>
      </c>
      <c r="S169" s="2"/>
      <c r="T169" s="7">
        <v>107.7</v>
      </c>
      <c r="U169" s="2"/>
      <c r="V169" s="6">
        <f t="shared" si="62"/>
        <v>3.4112656449289425E-5</v>
      </c>
      <c r="W169" s="2"/>
      <c r="X169" s="7">
        <f t="shared" si="63"/>
        <v>1276.93</v>
      </c>
      <c r="Y169" s="2"/>
      <c r="Z169" s="6">
        <f t="shared" si="64"/>
        <v>11.856360259981431</v>
      </c>
    </row>
    <row r="170" spans="1:26" s="27" customFormat="1" outlineLevel="1" collapsed="1" x14ac:dyDescent="0.25">
      <c r="A170" s="29"/>
      <c r="B170" s="14" t="str">
        <f>CONCATENATE("     ","Equipment Rental                                  ")</f>
        <v xml:space="preserve">     Equipment Rental                                  </v>
      </c>
      <c r="C170" s="14"/>
      <c r="D170" s="1">
        <f>SUM(OSRRefD22_8x_0)</f>
        <v>1388.16</v>
      </c>
      <c r="E170" s="1"/>
      <c r="F170" s="5">
        <f t="shared" si="57"/>
        <v>1.828179735975688E-3</v>
      </c>
      <c r="G170" s="1"/>
      <c r="H170" s="1">
        <f>SUM(OSRRefH22_8x_0)</f>
        <v>1712.05</v>
      </c>
      <c r="I170" s="1"/>
      <c r="J170" s="5">
        <f t="shared" si="58"/>
        <v>2.7055518974254079E-3</v>
      </c>
      <c r="K170" s="1"/>
      <c r="L170" s="1">
        <f t="shared" si="59"/>
        <v>-323.88999999999987</v>
      </c>
      <c r="M170" s="1"/>
      <c r="N170" s="5">
        <f t="shared" si="60"/>
        <v>-0.18918255892059221</v>
      </c>
      <c r="O170" s="14"/>
      <c r="P170" s="1">
        <f>SUM(OSRRefP22_8x_0)</f>
        <v>5080.05</v>
      </c>
      <c r="Q170" s="1"/>
      <c r="R170" s="5">
        <f t="shared" si="61"/>
        <v>1.7330452926690495E-3</v>
      </c>
      <c r="S170" s="1"/>
      <c r="T170" s="1">
        <f>SUM(OSRRefT22_8x_0)</f>
        <v>4488.37</v>
      </c>
      <c r="U170" s="1"/>
      <c r="V170" s="5">
        <f t="shared" si="62"/>
        <v>1.4216362472358141E-3</v>
      </c>
      <c r="W170" s="1"/>
      <c r="X170" s="1">
        <f t="shared" si="63"/>
        <v>591.68000000000029</v>
      </c>
      <c r="Y170" s="1"/>
      <c r="Z170" s="5">
        <f t="shared" si="64"/>
        <v>0.13182513919307015</v>
      </c>
    </row>
    <row r="171" spans="1:26" s="24" customFormat="1" hidden="1" outlineLevel="2" x14ac:dyDescent="0.25">
      <c r="A171" s="28"/>
      <c r="B171" s="11" t="str">
        <f>CONCATENATE("          ", "6351", " - ", "EQUIPMENT RENTAL")</f>
        <v xml:space="preserve">          6351 - EQUIPMENT RENTAL</v>
      </c>
      <c r="C171" s="11"/>
      <c r="D171" s="7">
        <v>1388.16</v>
      </c>
      <c r="E171" s="2"/>
      <c r="F171" s="6">
        <f t="shared" si="57"/>
        <v>1.828179735975688E-3</v>
      </c>
      <c r="G171" s="2"/>
      <c r="H171" s="7">
        <v>1712.05</v>
      </c>
      <c r="I171" s="2"/>
      <c r="J171" s="6">
        <f t="shared" si="58"/>
        <v>2.7055518974254079E-3</v>
      </c>
      <c r="K171" s="2"/>
      <c r="L171" s="7">
        <f t="shared" si="59"/>
        <v>-323.88999999999987</v>
      </c>
      <c r="M171" s="2"/>
      <c r="N171" s="6">
        <f t="shared" si="60"/>
        <v>-0.18918255892059221</v>
      </c>
      <c r="O171" s="11"/>
      <c r="P171" s="7">
        <v>5080.05</v>
      </c>
      <c r="Q171" s="2"/>
      <c r="R171" s="6">
        <f t="shared" si="61"/>
        <v>1.7330452926690495E-3</v>
      </c>
      <c r="S171" s="2"/>
      <c r="T171" s="7">
        <v>4488.37</v>
      </c>
      <c r="U171" s="2"/>
      <c r="V171" s="6">
        <f t="shared" si="62"/>
        <v>1.4216362472358141E-3</v>
      </c>
      <c r="W171" s="2"/>
      <c r="X171" s="7">
        <f t="shared" si="63"/>
        <v>591.68000000000029</v>
      </c>
      <c r="Y171" s="2"/>
      <c r="Z171" s="6">
        <f t="shared" si="64"/>
        <v>0.13182513919307015</v>
      </c>
    </row>
    <row r="172" spans="1:26" s="27" customFormat="1" outlineLevel="1" collapsed="1" x14ac:dyDescent="0.25">
      <c r="A172" s="29"/>
      <c r="B172" s="14" t="str">
        <f>CONCATENATE("     ","Freight out/Postage                               ")</f>
        <v xml:space="preserve">     Freight out/Postage                               </v>
      </c>
      <c r="C172" s="14"/>
      <c r="D172" s="1">
        <f>SUM(OSRRefD22_9x_0)</f>
        <v>3676.3099999999995</v>
      </c>
      <c r="E172" s="1"/>
      <c r="F172" s="5">
        <f t="shared" si="57"/>
        <v>4.8416288073167219E-3</v>
      </c>
      <c r="G172" s="1"/>
      <c r="H172" s="1">
        <f>SUM(OSRRefH22_9x_0)</f>
        <v>-5852.130000000001</v>
      </c>
      <c r="I172" s="1"/>
      <c r="J172" s="5">
        <f t="shared" si="58"/>
        <v>-9.2481185861862415E-3</v>
      </c>
      <c r="K172" s="1"/>
      <c r="L172" s="1">
        <f t="shared" si="59"/>
        <v>9528.44</v>
      </c>
      <c r="M172" s="1"/>
      <c r="N172" s="5">
        <f t="shared" si="60"/>
        <v>-1.6282003304779624</v>
      </c>
      <c r="O172" s="14"/>
      <c r="P172" s="1">
        <f>SUM(OSRRefP22_9x_0)</f>
        <v>-12013.43</v>
      </c>
      <c r="Q172" s="1"/>
      <c r="R172" s="5">
        <f t="shared" si="61"/>
        <v>-4.0983490930815913E-3</v>
      </c>
      <c r="S172" s="1"/>
      <c r="T172" s="1">
        <f>SUM(OSRRefT22_9x_0)</f>
        <v>-80474.25</v>
      </c>
      <c r="U172" s="1"/>
      <c r="V172" s="5">
        <f t="shared" si="62"/>
        <v>-2.5489233456492382E-2</v>
      </c>
      <c r="W172" s="1"/>
      <c r="X172" s="1">
        <f t="shared" si="63"/>
        <v>68460.820000000007</v>
      </c>
      <c r="Y172" s="1"/>
      <c r="Z172" s="5">
        <f t="shared" si="64"/>
        <v>-0.85071709273463259</v>
      </c>
    </row>
    <row r="173" spans="1:26" s="24" customFormat="1" hidden="1" outlineLevel="2" x14ac:dyDescent="0.25">
      <c r="A173" s="28"/>
      <c r="B173" s="11" t="str">
        <f>CONCATENATE("          ", "6305", " - ", "FREIGHT OUT")</f>
        <v xml:space="preserve">          6305 - FREIGHT OUT</v>
      </c>
      <c r="C173" s="11"/>
      <c r="D173" s="7">
        <v>13313.84</v>
      </c>
      <c r="E173" s="2"/>
      <c r="F173" s="6">
        <f t="shared" si="57"/>
        <v>1.7534068476272587E-2</v>
      </c>
      <c r="G173" s="2"/>
      <c r="H173" s="7">
        <v>5412.16</v>
      </c>
      <c r="I173" s="2"/>
      <c r="J173" s="6">
        <f t="shared" si="58"/>
        <v>8.5528341795916563E-3</v>
      </c>
      <c r="K173" s="2"/>
      <c r="L173" s="7">
        <f t="shared" si="59"/>
        <v>7901.68</v>
      </c>
      <c r="M173" s="2"/>
      <c r="N173" s="6">
        <f t="shared" si="60"/>
        <v>1.4599864009933188</v>
      </c>
      <c r="O173" s="11"/>
      <c r="P173" s="7">
        <v>28696.18</v>
      </c>
      <c r="Q173" s="2"/>
      <c r="R173" s="6">
        <f t="shared" si="61"/>
        <v>9.7896240522403755E-3</v>
      </c>
      <c r="S173" s="2"/>
      <c r="T173" s="7">
        <v>25922.720000000001</v>
      </c>
      <c r="U173" s="2"/>
      <c r="V173" s="6">
        <f t="shared" si="62"/>
        <v>8.2107041930466491E-3</v>
      </c>
      <c r="W173" s="2"/>
      <c r="X173" s="7">
        <f t="shared" si="63"/>
        <v>2773.4599999999991</v>
      </c>
      <c r="Y173" s="2"/>
      <c r="Z173" s="6">
        <f t="shared" si="64"/>
        <v>0.10698954430707885</v>
      </c>
    </row>
    <row r="174" spans="1:26" s="24" customFormat="1" hidden="1" outlineLevel="2" x14ac:dyDescent="0.25">
      <c r="A174" s="28"/>
      <c r="B174" s="11" t="str">
        <f>CONCATENATE("          ", "6307", " - ", "POSTAGE")</f>
        <v xml:space="preserve">          6307 - POSTAGE</v>
      </c>
      <c r="C174" s="11"/>
      <c r="D174" s="7">
        <v>-9637.5300000000007</v>
      </c>
      <c r="E174" s="2"/>
      <c r="F174" s="6">
        <f t="shared" si="57"/>
        <v>-1.2692439668955864E-2</v>
      </c>
      <c r="G174" s="2"/>
      <c r="H174" s="7">
        <v>-11264.29</v>
      </c>
      <c r="I174" s="2"/>
      <c r="J174" s="6">
        <f t="shared" si="58"/>
        <v>-1.7800952765777898E-2</v>
      </c>
      <c r="K174" s="2"/>
      <c r="L174" s="7">
        <f t="shared" si="59"/>
        <v>1626.7600000000002</v>
      </c>
      <c r="M174" s="2"/>
      <c r="N174" s="6">
        <f t="shared" si="60"/>
        <v>-0.14441744663889158</v>
      </c>
      <c r="O174" s="11"/>
      <c r="P174" s="7">
        <v>-40709.61</v>
      </c>
      <c r="Q174" s="2"/>
      <c r="R174" s="6">
        <f t="shared" si="61"/>
        <v>-1.3887973145321968E-2</v>
      </c>
      <c r="S174" s="2"/>
      <c r="T174" s="7">
        <v>-106396.97</v>
      </c>
      <c r="U174" s="2"/>
      <c r="V174" s="6">
        <f t="shared" si="62"/>
        <v>-3.3699937649539033E-2</v>
      </c>
      <c r="W174" s="2"/>
      <c r="X174" s="7">
        <f t="shared" si="63"/>
        <v>65687.360000000001</v>
      </c>
      <c r="Y174" s="2"/>
      <c r="Z174" s="6">
        <f t="shared" si="64"/>
        <v>-0.61737998741881461</v>
      </c>
    </row>
    <row r="175" spans="1:26" s="27" customFormat="1" outlineLevel="1" collapsed="1" x14ac:dyDescent="0.25">
      <c r="A175" s="29"/>
      <c r="B175" s="14" t="str">
        <f>CONCATENATE("     ","General                                           ")</f>
        <v xml:space="preserve">     General                                           </v>
      </c>
      <c r="C175" s="14"/>
      <c r="D175" s="1">
        <f>SUM(OSRRefD22_10x_0)</f>
        <v>91.31</v>
      </c>
      <c r="E175" s="1"/>
      <c r="F175" s="5">
        <f t="shared" ref="F175:F181" si="65">IF(D$12=0,0,D175/D$12)</f>
        <v>1.2025349505240035E-4</v>
      </c>
      <c r="G175" s="1"/>
      <c r="H175" s="1">
        <f>SUM(OSRRefH22_10x_0)</f>
        <v>0</v>
      </c>
      <c r="I175" s="1"/>
      <c r="J175" s="5">
        <f t="shared" ref="J175:J181" si="66">IF(H$12=0,0,H175/H$12)</f>
        <v>0</v>
      </c>
      <c r="K175" s="1"/>
      <c r="L175" s="1">
        <f t="shared" ref="L175:L181" si="67">+D175-H175</f>
        <v>91.31</v>
      </c>
      <c r="M175" s="1"/>
      <c r="N175" s="5">
        <f t="shared" ref="N175:N181" si="68">IF(H175=0,0,L175/H175)</f>
        <v>0</v>
      </c>
      <c r="O175" s="14"/>
      <c r="P175" s="1">
        <f>SUM(OSRRefP22_10x_0)</f>
        <v>1866.6</v>
      </c>
      <c r="Q175" s="1"/>
      <c r="R175" s="5">
        <f t="shared" ref="R175:R181" si="69">IF(P$12=0,0,P175/P$12)</f>
        <v>6.3678553228728994E-4</v>
      </c>
      <c r="S175" s="1"/>
      <c r="T175" s="1">
        <f>SUM(OSRRefT22_10x_0)</f>
        <v>-3236.98</v>
      </c>
      <c r="U175" s="1"/>
      <c r="V175" s="5">
        <f t="shared" ref="V175:V181" si="70">IF(T$12=0,0,T175/T$12)</f>
        <v>-1.025273785266675E-3</v>
      </c>
      <c r="W175" s="1"/>
      <c r="X175" s="1">
        <f t="shared" ref="X175:X181" si="71">+P175-T175</f>
        <v>5103.58</v>
      </c>
      <c r="Y175" s="1"/>
      <c r="Z175" s="5">
        <f t="shared" ref="Z175:Z181" si="72">IF(T175=0,0,X175/T175)</f>
        <v>-1.5766486045635129</v>
      </c>
    </row>
    <row r="176" spans="1:26" s="24" customFormat="1" hidden="1" outlineLevel="2" x14ac:dyDescent="0.25">
      <c r="A176" s="28"/>
      <c r="B176" s="11" t="str">
        <f>CONCATENATE("          ", "6279", " - ", "GENERAL EXPENSE")</f>
        <v xml:space="preserve">          6279 - GENERAL EXPENSE</v>
      </c>
      <c r="C176" s="11"/>
      <c r="D176" s="7">
        <v>91.31</v>
      </c>
      <c r="E176" s="2"/>
      <c r="F176" s="6">
        <f t="shared" si="65"/>
        <v>1.2025349505240035E-4</v>
      </c>
      <c r="G176" s="2"/>
      <c r="H176" s="7"/>
      <c r="I176" s="2"/>
      <c r="J176" s="6">
        <f t="shared" si="66"/>
        <v>0</v>
      </c>
      <c r="K176" s="2"/>
      <c r="L176" s="7">
        <f t="shared" si="67"/>
        <v>91.31</v>
      </c>
      <c r="M176" s="2"/>
      <c r="N176" s="6">
        <f t="shared" si="68"/>
        <v>0</v>
      </c>
      <c r="O176" s="11"/>
      <c r="P176" s="7">
        <v>1866.6</v>
      </c>
      <c r="Q176" s="2"/>
      <c r="R176" s="6">
        <f t="shared" si="69"/>
        <v>6.3678553228728994E-4</v>
      </c>
      <c r="S176" s="2"/>
      <c r="T176" s="7">
        <v>-3236.98</v>
      </c>
      <c r="U176" s="2"/>
      <c r="V176" s="6">
        <f t="shared" si="70"/>
        <v>-1.025273785266675E-3</v>
      </c>
      <c r="W176" s="2"/>
      <c r="X176" s="7">
        <f t="shared" si="71"/>
        <v>5103.58</v>
      </c>
      <c r="Y176" s="2"/>
      <c r="Z176" s="6">
        <f t="shared" si="72"/>
        <v>-1.5766486045635129</v>
      </c>
    </row>
    <row r="177" spans="1:26" s="27" customFormat="1" outlineLevel="1" collapsed="1" x14ac:dyDescent="0.25">
      <c r="A177" s="29"/>
      <c r="B177" s="14" t="str">
        <f>CONCATENATE("     ","Insurance                                         ")</f>
        <v xml:space="preserve">     Insurance                                         </v>
      </c>
      <c r="C177" s="14"/>
      <c r="D177" s="1">
        <f>SUM(OSRRefD22_11x_0)</f>
        <v>5494.57</v>
      </c>
      <c r="E177" s="1"/>
      <c r="F177" s="5">
        <f t="shared" si="65"/>
        <v>7.2362418827079987E-3</v>
      </c>
      <c r="G177" s="1"/>
      <c r="H177" s="1">
        <f>SUM(OSRRefH22_11x_0)</f>
        <v>4044.74</v>
      </c>
      <c r="I177" s="1"/>
      <c r="J177" s="5">
        <f t="shared" si="66"/>
        <v>6.3919009267208579E-3</v>
      </c>
      <c r="K177" s="1"/>
      <c r="L177" s="1">
        <f t="shared" si="67"/>
        <v>1449.83</v>
      </c>
      <c r="M177" s="1"/>
      <c r="N177" s="5">
        <f t="shared" si="68"/>
        <v>0.35844825625380122</v>
      </c>
      <c r="O177" s="14"/>
      <c r="P177" s="1">
        <f>SUM(OSRRefP22_11x_0)</f>
        <v>16483.71</v>
      </c>
      <c r="Q177" s="1"/>
      <c r="R177" s="5">
        <f t="shared" si="69"/>
        <v>5.6233730024747262E-3</v>
      </c>
      <c r="S177" s="1"/>
      <c r="T177" s="1">
        <f>SUM(OSRRefT22_11x_0)</f>
        <v>12134.22</v>
      </c>
      <c r="U177" s="1"/>
      <c r="V177" s="5">
        <f t="shared" si="70"/>
        <v>3.8433656280417523E-3</v>
      </c>
      <c r="W177" s="1"/>
      <c r="X177" s="1">
        <f t="shared" si="71"/>
        <v>4349.49</v>
      </c>
      <c r="Y177" s="1"/>
      <c r="Z177" s="5">
        <f t="shared" si="72"/>
        <v>0.35844825625380122</v>
      </c>
    </row>
    <row r="178" spans="1:26" s="24" customFormat="1" hidden="1" outlineLevel="2" x14ac:dyDescent="0.25">
      <c r="A178" s="28"/>
      <c r="B178" s="11" t="str">
        <f>CONCATENATE("          ", "6314", " - ", "LIABILITY INSURANCE")</f>
        <v xml:space="preserve">          6314 - LIABILITY INSURANCE</v>
      </c>
      <c r="C178" s="11"/>
      <c r="D178" s="7">
        <v>5494.57</v>
      </c>
      <c r="E178" s="2"/>
      <c r="F178" s="6">
        <f t="shared" si="65"/>
        <v>7.2362418827079987E-3</v>
      </c>
      <c r="G178" s="2"/>
      <c r="H178" s="7">
        <v>4044.74</v>
      </c>
      <c r="I178" s="2"/>
      <c r="J178" s="6">
        <f t="shared" si="66"/>
        <v>6.3919009267208579E-3</v>
      </c>
      <c r="K178" s="2"/>
      <c r="L178" s="7">
        <f t="shared" si="67"/>
        <v>1449.83</v>
      </c>
      <c r="M178" s="2"/>
      <c r="N178" s="6">
        <f t="shared" si="68"/>
        <v>0.35844825625380122</v>
      </c>
      <c r="O178" s="11"/>
      <c r="P178" s="7">
        <v>16483.71</v>
      </c>
      <c r="Q178" s="2"/>
      <c r="R178" s="6">
        <f t="shared" si="69"/>
        <v>5.6233730024747262E-3</v>
      </c>
      <c r="S178" s="2"/>
      <c r="T178" s="7">
        <v>12134.22</v>
      </c>
      <c r="U178" s="2"/>
      <c r="V178" s="6">
        <f t="shared" si="70"/>
        <v>3.8433656280417523E-3</v>
      </c>
      <c r="W178" s="2"/>
      <c r="X178" s="7">
        <f t="shared" si="71"/>
        <v>4349.49</v>
      </c>
      <c r="Y178" s="2"/>
      <c r="Z178" s="6">
        <f t="shared" si="72"/>
        <v>0.35844825625380122</v>
      </c>
    </row>
    <row r="179" spans="1:26" s="27" customFormat="1" outlineLevel="1" collapsed="1" x14ac:dyDescent="0.25">
      <c r="A179" s="29"/>
      <c r="B179" s="14" t="str">
        <f>CONCATENATE("     ","Inventory Adjustment                              ")</f>
        <v xml:space="preserve">     Inventory Adjustment                              </v>
      </c>
      <c r="C179" s="14"/>
      <c r="D179" s="1">
        <f>SUM(OSRRefD22_12x_0)</f>
        <v>5690</v>
      </c>
      <c r="E179" s="1"/>
      <c r="F179" s="5">
        <f t="shared" si="65"/>
        <v>7.4936193938030665E-3</v>
      </c>
      <c r="G179" s="1"/>
      <c r="H179" s="1">
        <f>SUM(OSRRefH22_12x_0)</f>
        <v>3350</v>
      </c>
      <c r="I179" s="1"/>
      <c r="J179" s="5">
        <f t="shared" si="66"/>
        <v>5.2940035959084817E-3</v>
      </c>
      <c r="K179" s="1"/>
      <c r="L179" s="1">
        <f t="shared" si="67"/>
        <v>2340</v>
      </c>
      <c r="M179" s="1"/>
      <c r="N179" s="5">
        <f t="shared" si="68"/>
        <v>0.69850746268656716</v>
      </c>
      <c r="O179" s="14"/>
      <c r="P179" s="1">
        <f>SUM(OSRRefP22_12x_0)</f>
        <v>19380</v>
      </c>
      <c r="Q179" s="1"/>
      <c r="R179" s="5">
        <f t="shared" si="69"/>
        <v>6.6114344882286938E-3</v>
      </c>
      <c r="S179" s="1"/>
      <c r="T179" s="1">
        <f>SUM(OSRRefT22_12x_0)</f>
        <v>10050</v>
      </c>
      <c r="U179" s="1"/>
      <c r="V179" s="5">
        <f t="shared" si="70"/>
        <v>3.1832144597526346E-3</v>
      </c>
      <c r="W179" s="1"/>
      <c r="X179" s="1">
        <f t="shared" si="71"/>
        <v>9330</v>
      </c>
      <c r="Y179" s="1"/>
      <c r="Z179" s="5">
        <f t="shared" si="72"/>
        <v>0.92835820895522392</v>
      </c>
    </row>
    <row r="180" spans="1:26" s="24" customFormat="1" hidden="1" outlineLevel="2" x14ac:dyDescent="0.25">
      <c r="A180" s="28"/>
      <c r="B180" s="11" t="str">
        <f>CONCATENATE("          ", "6408", " - ", "INVENTORY ADJUSTMENT")</f>
        <v xml:space="preserve">          6408 - INVENTORY ADJUSTMENT</v>
      </c>
      <c r="C180" s="11"/>
      <c r="D180" s="7">
        <v>5690</v>
      </c>
      <c r="E180" s="2"/>
      <c r="F180" s="6">
        <f t="shared" si="65"/>
        <v>7.4936193938030665E-3</v>
      </c>
      <c r="G180" s="2"/>
      <c r="H180" s="7">
        <v>3350</v>
      </c>
      <c r="I180" s="2"/>
      <c r="J180" s="6">
        <f t="shared" si="66"/>
        <v>5.2940035959084817E-3</v>
      </c>
      <c r="K180" s="2"/>
      <c r="L180" s="7">
        <f t="shared" si="67"/>
        <v>2340</v>
      </c>
      <c r="M180" s="2"/>
      <c r="N180" s="6">
        <f t="shared" si="68"/>
        <v>0.69850746268656716</v>
      </c>
      <c r="O180" s="11"/>
      <c r="P180" s="7">
        <v>19380</v>
      </c>
      <c r="Q180" s="2"/>
      <c r="R180" s="6">
        <f t="shared" si="69"/>
        <v>6.6114344882286938E-3</v>
      </c>
      <c r="S180" s="2"/>
      <c r="T180" s="7">
        <v>10050</v>
      </c>
      <c r="U180" s="2"/>
      <c r="V180" s="6">
        <f t="shared" si="70"/>
        <v>3.1832144597526346E-3</v>
      </c>
      <c r="W180" s="2"/>
      <c r="X180" s="7">
        <f t="shared" si="71"/>
        <v>9330</v>
      </c>
      <c r="Y180" s="2"/>
      <c r="Z180" s="6">
        <f t="shared" si="72"/>
        <v>0.92835820895522392</v>
      </c>
    </row>
    <row r="181" spans="1:26" s="24" customFormat="1" hidden="1" outlineLevel="2" x14ac:dyDescent="0.25">
      <c r="A181" s="28"/>
      <c r="B181" s="11" t="str">
        <f>CONCATENATE("          ", "7741", " - ", "INV. SHRINKAGE-LOGO GIFTS")</f>
        <v xml:space="preserve">          7741 - INV. SHRINKAGE-LOGO GIFTS</v>
      </c>
      <c r="C181" s="11"/>
      <c r="D181" s="7"/>
      <c r="E181" s="2"/>
      <c r="F181" s="6">
        <f t="shared" si="65"/>
        <v>0</v>
      </c>
      <c r="G181" s="2"/>
      <c r="H181" s="7"/>
      <c r="I181" s="2"/>
      <c r="J181" s="6">
        <f t="shared" si="66"/>
        <v>0</v>
      </c>
      <c r="K181" s="2"/>
      <c r="L181" s="7">
        <f t="shared" si="67"/>
        <v>0</v>
      </c>
      <c r="M181" s="2"/>
      <c r="N181" s="6">
        <f t="shared" si="68"/>
        <v>0</v>
      </c>
      <c r="O181" s="11"/>
      <c r="P181" s="7"/>
      <c r="Q181" s="2"/>
      <c r="R181" s="6">
        <f t="shared" si="69"/>
        <v>0</v>
      </c>
      <c r="S181" s="2"/>
      <c r="T181" s="7">
        <v>0</v>
      </c>
      <c r="U181" s="2"/>
      <c r="V181" s="6">
        <f t="shared" si="70"/>
        <v>0</v>
      </c>
      <c r="W181" s="2"/>
      <c r="X181" s="7">
        <f t="shared" si="71"/>
        <v>0</v>
      </c>
      <c r="Y181" s="2"/>
      <c r="Z181" s="6">
        <f t="shared" si="72"/>
        <v>0</v>
      </c>
    </row>
    <row r="182" spans="1:26" s="27" customFormat="1" outlineLevel="1" collapsed="1" x14ac:dyDescent="0.25">
      <c r="A182" s="29"/>
      <c r="B182" s="14" t="str">
        <f>CONCATENATE("     ","Rent                                              ")</f>
        <v xml:space="preserve">     Rent                                              </v>
      </c>
      <c r="C182" s="14"/>
      <c r="D182" s="1">
        <f>SUM(OSRRefD22_13x_0)</f>
        <v>6100</v>
      </c>
      <c r="E182" s="1"/>
      <c r="F182" s="5">
        <f t="shared" ref="F182:F188" si="73">IF(D$12=0,0,D182/D$12)</f>
        <v>8.0335814239365037E-3</v>
      </c>
      <c r="G182" s="1"/>
      <c r="H182" s="1">
        <f>SUM(OSRRefH22_13x_0)</f>
        <v>6100</v>
      </c>
      <c r="I182" s="1"/>
      <c r="J182" s="5">
        <f t="shared" ref="J182:J188" si="74">IF(H$12=0,0,H182/H$12)</f>
        <v>9.6398274432960424E-3</v>
      </c>
      <c r="K182" s="1"/>
      <c r="L182" s="1">
        <f t="shared" ref="L182:L188" si="75">+D182-H182</f>
        <v>0</v>
      </c>
      <c r="M182" s="1"/>
      <c r="N182" s="5">
        <f t="shared" ref="N182:N188" si="76">IF(H182=0,0,L182/H182)</f>
        <v>0</v>
      </c>
      <c r="O182" s="14"/>
      <c r="P182" s="1">
        <f>SUM(OSRRefP22_13x_0)</f>
        <v>18300</v>
      </c>
      <c r="Q182" s="1"/>
      <c r="R182" s="5">
        <f t="shared" ref="R182:R188" si="77">IF(P$12=0,0,P182/P$12)</f>
        <v>6.242995414581275E-3</v>
      </c>
      <c r="S182" s="1"/>
      <c r="T182" s="1">
        <f>SUM(OSRRefT22_13x_0)</f>
        <v>18300</v>
      </c>
      <c r="U182" s="1"/>
      <c r="V182" s="5">
        <f t="shared" ref="V182:V188" si="78">IF(T$12=0,0,T182/T$12)</f>
        <v>5.7963009565644985E-3</v>
      </c>
      <c r="W182" s="1"/>
      <c r="X182" s="1">
        <f t="shared" ref="X182:X188" si="79">+P182-T182</f>
        <v>0</v>
      </c>
      <c r="Y182" s="1"/>
      <c r="Z182" s="5">
        <f t="shared" ref="Z182:Z188" si="80">IF(T182=0,0,X182/T182)</f>
        <v>0</v>
      </c>
    </row>
    <row r="183" spans="1:26" s="24" customFormat="1" hidden="1" outlineLevel="2" x14ac:dyDescent="0.25">
      <c r="A183" s="28"/>
      <c r="B183" s="11" t="str">
        <f>CONCATENATE("          ", "6273", " - ", "RENT")</f>
        <v xml:space="preserve">          6273 - RENT</v>
      </c>
      <c r="C183" s="11"/>
      <c r="D183" s="7">
        <v>6100</v>
      </c>
      <c r="E183" s="2"/>
      <c r="F183" s="6">
        <f t="shared" si="73"/>
        <v>8.0335814239365037E-3</v>
      </c>
      <c r="G183" s="2"/>
      <c r="H183" s="7">
        <v>6100</v>
      </c>
      <c r="I183" s="2"/>
      <c r="J183" s="6">
        <f t="shared" si="74"/>
        <v>9.6398274432960424E-3</v>
      </c>
      <c r="K183" s="2"/>
      <c r="L183" s="7">
        <f t="shared" si="75"/>
        <v>0</v>
      </c>
      <c r="M183" s="2"/>
      <c r="N183" s="6">
        <f t="shared" si="76"/>
        <v>0</v>
      </c>
      <c r="O183" s="11"/>
      <c r="P183" s="7">
        <v>18300</v>
      </c>
      <c r="Q183" s="2"/>
      <c r="R183" s="6">
        <f t="shared" si="77"/>
        <v>6.242995414581275E-3</v>
      </c>
      <c r="S183" s="2"/>
      <c r="T183" s="7">
        <v>18300</v>
      </c>
      <c r="U183" s="2"/>
      <c r="V183" s="6">
        <f t="shared" si="78"/>
        <v>5.7963009565644985E-3</v>
      </c>
      <c r="W183" s="2"/>
      <c r="X183" s="7">
        <f t="shared" si="79"/>
        <v>0</v>
      </c>
      <c r="Y183" s="2"/>
      <c r="Z183" s="6">
        <f t="shared" si="80"/>
        <v>0</v>
      </c>
    </row>
    <row r="184" spans="1:26" s="27" customFormat="1" outlineLevel="1" collapsed="1" x14ac:dyDescent="0.25">
      <c r="A184" s="29"/>
      <c r="B184" s="14" t="str">
        <f>CONCATENATE("     ","Repair and Maintenance                            ")</f>
        <v xml:space="preserve">     Repair and Maintenance                            </v>
      </c>
      <c r="C184" s="14"/>
      <c r="D184" s="1">
        <f>SUM(OSRRefD22_14x_0)</f>
        <v>4189.5</v>
      </c>
      <c r="E184" s="1"/>
      <c r="F184" s="5">
        <f t="shared" si="73"/>
        <v>5.5174900615708169E-3</v>
      </c>
      <c r="G184" s="1"/>
      <c r="H184" s="1">
        <f>SUM(OSRRefH22_14x_0)</f>
        <v>13339.48</v>
      </c>
      <c r="I184" s="1"/>
      <c r="J184" s="5">
        <f t="shared" si="74"/>
        <v>2.1080374652999785E-2</v>
      </c>
      <c r="K184" s="1"/>
      <c r="L184" s="1">
        <f t="shared" si="75"/>
        <v>-9149.98</v>
      </c>
      <c r="M184" s="1"/>
      <c r="N184" s="5">
        <f t="shared" si="76"/>
        <v>-0.68593228521651517</v>
      </c>
      <c r="O184" s="14"/>
      <c r="P184" s="1">
        <f>SUM(OSRRefP22_14x_0)</f>
        <v>77016.56</v>
      </c>
      <c r="Q184" s="1"/>
      <c r="R184" s="5">
        <f t="shared" si="77"/>
        <v>2.6273990761028612E-2</v>
      </c>
      <c r="S184" s="1"/>
      <c r="T184" s="1">
        <f>SUM(OSRRefT22_14x_0)</f>
        <v>86392.27</v>
      </c>
      <c r="U184" s="1"/>
      <c r="V184" s="5">
        <f t="shared" si="78"/>
        <v>2.7363693838293904E-2</v>
      </c>
      <c r="W184" s="1"/>
      <c r="X184" s="1">
        <f t="shared" si="79"/>
        <v>-9375.7100000000064</v>
      </c>
      <c r="Y184" s="1"/>
      <c r="Z184" s="5">
        <f t="shared" si="80"/>
        <v>-0.10852487149602627</v>
      </c>
    </row>
    <row r="185" spans="1:26" s="24" customFormat="1" hidden="1" outlineLevel="2" x14ac:dyDescent="0.25">
      <c r="A185" s="28"/>
      <c r="B185" s="11" t="str">
        <f>CONCATENATE("          ", "6371", " - ", "COMPUTER SOFTWARE MAINTENANCE")</f>
        <v xml:space="preserve">          6371 - COMPUTER SOFTWARE MAINTENANCE</v>
      </c>
      <c r="C185" s="11"/>
      <c r="D185" s="7"/>
      <c r="E185" s="2"/>
      <c r="F185" s="6">
        <f t="shared" si="73"/>
        <v>0</v>
      </c>
      <c r="G185" s="2"/>
      <c r="H185" s="7"/>
      <c r="I185" s="2"/>
      <c r="J185" s="6">
        <f t="shared" si="74"/>
        <v>0</v>
      </c>
      <c r="K185" s="2"/>
      <c r="L185" s="7">
        <f t="shared" si="75"/>
        <v>0</v>
      </c>
      <c r="M185" s="2"/>
      <c r="N185" s="6">
        <f t="shared" si="76"/>
        <v>0</v>
      </c>
      <c r="O185" s="11"/>
      <c r="P185" s="7">
        <v>59623.5</v>
      </c>
      <c r="Q185" s="2"/>
      <c r="R185" s="6">
        <f t="shared" si="77"/>
        <v>2.0340395470015663E-2</v>
      </c>
      <c r="S185" s="2"/>
      <c r="T185" s="7">
        <v>58428.78</v>
      </c>
      <c r="U185" s="2"/>
      <c r="V185" s="6">
        <f t="shared" si="78"/>
        <v>1.8506600732508014E-2</v>
      </c>
      <c r="W185" s="2"/>
      <c r="X185" s="7">
        <f t="shared" si="79"/>
        <v>1194.7200000000012</v>
      </c>
      <c r="Y185" s="2"/>
      <c r="Z185" s="6">
        <f t="shared" si="80"/>
        <v>2.044745757142287E-2</v>
      </c>
    </row>
    <row r="186" spans="1:26" s="24" customFormat="1" hidden="1" outlineLevel="2" x14ac:dyDescent="0.25">
      <c r="A186" s="28"/>
      <c r="B186" s="11" t="str">
        <f>CONCATENATE("          ", "6372", " - ", "COMPUTER HARDWARE MAINTENANCE")</f>
        <v xml:space="preserve">          6372 - COMPUTER HARDWARE MAINTENANCE</v>
      </c>
      <c r="C186" s="11"/>
      <c r="D186" s="7"/>
      <c r="E186" s="2"/>
      <c r="F186" s="6">
        <f t="shared" si="73"/>
        <v>0</v>
      </c>
      <c r="G186" s="2"/>
      <c r="H186" s="7">
        <v>-9.09</v>
      </c>
      <c r="I186" s="2"/>
      <c r="J186" s="6">
        <f t="shared" si="74"/>
        <v>-1.4364923190091971E-5</v>
      </c>
      <c r="K186" s="2"/>
      <c r="L186" s="7">
        <f t="shared" si="75"/>
        <v>9.09</v>
      </c>
      <c r="M186" s="2"/>
      <c r="N186" s="6">
        <f t="shared" si="76"/>
        <v>-1</v>
      </c>
      <c r="O186" s="11"/>
      <c r="P186" s="7"/>
      <c r="Q186" s="2"/>
      <c r="R186" s="6">
        <f t="shared" si="77"/>
        <v>0</v>
      </c>
      <c r="S186" s="2"/>
      <c r="T186" s="7">
        <v>-8.11</v>
      </c>
      <c r="U186" s="2"/>
      <c r="V186" s="6">
        <f t="shared" si="78"/>
        <v>-2.5687432108053597E-6</v>
      </c>
      <c r="W186" s="2"/>
      <c r="X186" s="7">
        <f t="shared" si="79"/>
        <v>8.11</v>
      </c>
      <c r="Y186" s="2"/>
      <c r="Z186" s="6">
        <f t="shared" si="80"/>
        <v>-1</v>
      </c>
    </row>
    <row r="187" spans="1:26" s="24" customFormat="1" hidden="1" outlineLevel="2" x14ac:dyDescent="0.25">
      <c r="A187" s="28"/>
      <c r="B187" s="11" t="str">
        <f>CONCATENATE("          ", "6373", " - ", "MAINTENANCE CONTRACTS")</f>
        <v xml:space="preserve">          6373 - MAINTENANCE CONTRACTS</v>
      </c>
      <c r="C187" s="11"/>
      <c r="D187" s="7">
        <v>1366.9</v>
      </c>
      <c r="E187" s="2"/>
      <c r="F187" s="6">
        <f t="shared" si="73"/>
        <v>1.8001807292424275E-3</v>
      </c>
      <c r="G187" s="2"/>
      <c r="H187" s="7">
        <v>12402.82</v>
      </c>
      <c r="I187" s="2"/>
      <c r="J187" s="6">
        <f t="shared" si="74"/>
        <v>1.9600171247583772E-2</v>
      </c>
      <c r="K187" s="2"/>
      <c r="L187" s="7">
        <f t="shared" si="75"/>
        <v>-11035.92</v>
      </c>
      <c r="M187" s="2"/>
      <c r="N187" s="6">
        <f t="shared" si="76"/>
        <v>-0.88979119264812356</v>
      </c>
      <c r="O187" s="11"/>
      <c r="P187" s="7">
        <v>8031.95</v>
      </c>
      <c r="Q187" s="2"/>
      <c r="R187" s="6">
        <f t="shared" si="77"/>
        <v>2.7400779792429546E-3</v>
      </c>
      <c r="S187" s="2"/>
      <c r="T187" s="7">
        <v>25189.05</v>
      </c>
      <c r="U187" s="2"/>
      <c r="V187" s="6">
        <f t="shared" si="78"/>
        <v>7.9783232027295613E-3</v>
      </c>
      <c r="W187" s="2"/>
      <c r="X187" s="7">
        <f t="shared" si="79"/>
        <v>-17157.099999999999</v>
      </c>
      <c r="Y187" s="2"/>
      <c r="Z187" s="6">
        <f t="shared" si="80"/>
        <v>-0.68113327021066694</v>
      </c>
    </row>
    <row r="188" spans="1:26" s="24" customFormat="1" hidden="1" outlineLevel="2" x14ac:dyDescent="0.25">
      <c r="A188" s="28"/>
      <c r="B188" s="11" t="str">
        <f>CONCATENATE("          ", "6375", " - ", "OUTSIDE REPAIRS &amp; MAINTENANCE")</f>
        <v xml:space="preserve">          6375 - OUTSIDE REPAIRS &amp; MAINTENANCE</v>
      </c>
      <c r="C188" s="11"/>
      <c r="D188" s="7">
        <v>2822.6</v>
      </c>
      <c r="E188" s="2"/>
      <c r="F188" s="6">
        <f t="shared" si="73"/>
        <v>3.717309332328389E-3</v>
      </c>
      <c r="G188" s="2"/>
      <c r="H188" s="7">
        <v>945.75</v>
      </c>
      <c r="I188" s="2"/>
      <c r="J188" s="6">
        <f t="shared" si="74"/>
        <v>1.4945683286061036E-3</v>
      </c>
      <c r="K188" s="2"/>
      <c r="L188" s="7">
        <f t="shared" si="75"/>
        <v>1876.85</v>
      </c>
      <c r="M188" s="2"/>
      <c r="N188" s="6">
        <f t="shared" si="76"/>
        <v>1.984509648427174</v>
      </c>
      <c r="O188" s="11"/>
      <c r="P188" s="7">
        <v>9361.11</v>
      </c>
      <c r="Q188" s="2"/>
      <c r="R188" s="6">
        <f t="shared" si="77"/>
        <v>3.1935173117699956E-3</v>
      </c>
      <c r="S188" s="2"/>
      <c r="T188" s="7">
        <v>2782.55</v>
      </c>
      <c r="U188" s="2"/>
      <c r="V188" s="6">
        <f t="shared" si="78"/>
        <v>8.8133864626713373E-4</v>
      </c>
      <c r="W188" s="2"/>
      <c r="X188" s="7">
        <f t="shared" si="79"/>
        <v>6578.56</v>
      </c>
      <c r="Y188" s="2"/>
      <c r="Z188" s="6">
        <f t="shared" si="80"/>
        <v>2.3642198702628883</v>
      </c>
    </row>
    <row r="189" spans="1:26" s="27" customFormat="1" outlineLevel="1" collapsed="1" x14ac:dyDescent="0.25">
      <c r="A189" s="29"/>
      <c r="B189" s="14" t="str">
        <f>CONCATENATE("     ","Royalty &amp; Commissions                             ")</f>
        <v xml:space="preserve">     Royalty &amp; Commissions                             </v>
      </c>
      <c r="C189" s="14"/>
      <c r="D189" s="1">
        <f>SUM(OSRRefD22_15x_0)</f>
        <v>1174.22</v>
      </c>
      <c r="E189" s="1"/>
      <c r="F189" s="5">
        <f t="shared" ref="F189:F192" si="81">IF(D$12=0,0,D189/D$12)</f>
        <v>1.5464249146909378E-3</v>
      </c>
      <c r="G189" s="1"/>
      <c r="H189" s="1">
        <f>SUM(OSRRefH22_15x_0)</f>
        <v>62.6</v>
      </c>
      <c r="I189" s="1"/>
      <c r="J189" s="5">
        <f t="shared" ref="J189:J192" si="82">IF(H$12=0,0,H189/H$12)</f>
        <v>9.8926753762349542E-5</v>
      </c>
      <c r="K189" s="1"/>
      <c r="L189" s="1">
        <f t="shared" ref="L189:L192" si="83">+D189-H189</f>
        <v>1111.6200000000001</v>
      </c>
      <c r="M189" s="1"/>
      <c r="N189" s="5">
        <f t="shared" ref="N189:N192" si="84">IF(H189=0,0,L189/H189)</f>
        <v>17.75750798722045</v>
      </c>
      <c r="O189" s="14"/>
      <c r="P189" s="1">
        <f>SUM(OSRRefP22_15x_0)</f>
        <v>9131.2100000000009</v>
      </c>
      <c r="Q189" s="1"/>
      <c r="R189" s="5">
        <f t="shared" ref="R189:R192" si="85">IF(P$12=0,0,P189/P$12)</f>
        <v>3.1150875497037533E-3</v>
      </c>
      <c r="S189" s="1"/>
      <c r="T189" s="1">
        <f>SUM(OSRRefT22_15x_0)</f>
        <v>13307</v>
      </c>
      <c r="U189" s="1"/>
      <c r="V189" s="5">
        <f t="shared" ref="V189:V192" si="86">IF(T$12=0,0,T189/T$12)</f>
        <v>4.2148293349182396E-3</v>
      </c>
      <c r="W189" s="1"/>
      <c r="X189" s="1">
        <f t="shared" ref="X189:X192" si="87">+P189-T189</f>
        <v>-4175.7899999999991</v>
      </c>
      <c r="Y189" s="1"/>
      <c r="Z189" s="5">
        <f t="shared" ref="Z189:Z192" si="88">IF(T189=0,0,X189/T189)</f>
        <v>-0.31380401292552784</v>
      </c>
    </row>
    <row r="190" spans="1:26" s="24" customFormat="1" hidden="1" outlineLevel="2" x14ac:dyDescent="0.25">
      <c r="A190" s="28"/>
      <c r="B190" s="11" t="str">
        <f>CONCATENATE("          ", "6253", " - ", "ROYALTY DUE ATHLETICS-LRG")</f>
        <v xml:space="preserve">          6253 - ROYALTY DUE ATHLETICS-LRG</v>
      </c>
      <c r="C190" s="11"/>
      <c r="D190" s="7"/>
      <c r="E190" s="2"/>
      <c r="F190" s="6">
        <f t="shared" si="81"/>
        <v>0</v>
      </c>
      <c r="G190" s="2"/>
      <c r="H190" s="7"/>
      <c r="I190" s="2"/>
      <c r="J190" s="6">
        <f t="shared" si="82"/>
        <v>0</v>
      </c>
      <c r="K190" s="2"/>
      <c r="L190" s="7">
        <f t="shared" si="83"/>
        <v>0</v>
      </c>
      <c r="M190" s="2"/>
      <c r="N190" s="6">
        <f t="shared" si="84"/>
        <v>0</v>
      </c>
      <c r="O190" s="11"/>
      <c r="P190" s="7">
        <v>14376.54</v>
      </c>
      <c r="Q190" s="2"/>
      <c r="R190" s="6">
        <f t="shared" si="85"/>
        <v>4.9045176665324748E-3</v>
      </c>
      <c r="S190" s="2"/>
      <c r="T190" s="7">
        <v>7922.2</v>
      </c>
      <c r="U190" s="2"/>
      <c r="V190" s="6">
        <f t="shared" si="86"/>
        <v>2.5092598600052062E-3</v>
      </c>
      <c r="W190" s="2"/>
      <c r="X190" s="7">
        <f t="shared" si="87"/>
        <v>6454.3400000000011</v>
      </c>
      <c r="Y190" s="2"/>
      <c r="Z190" s="6">
        <f t="shared" si="88"/>
        <v>0.81471560930044695</v>
      </c>
    </row>
    <row r="191" spans="1:26" s="24" customFormat="1" hidden="1" outlineLevel="2" x14ac:dyDescent="0.25">
      <c r="A191" s="28"/>
      <c r="B191" s="11" t="str">
        <f>CONCATENATE("          ", "6254", " - ", "ROYALTY &amp; COMMISSIONS")</f>
        <v xml:space="preserve">          6254 - ROYALTY &amp; COMMISSIONS</v>
      </c>
      <c r="C191" s="11"/>
      <c r="D191" s="7"/>
      <c r="E191" s="2"/>
      <c r="F191" s="6">
        <f t="shared" si="81"/>
        <v>0</v>
      </c>
      <c r="G191" s="2"/>
      <c r="H191" s="7"/>
      <c r="I191" s="2"/>
      <c r="J191" s="6">
        <f t="shared" si="82"/>
        <v>0</v>
      </c>
      <c r="K191" s="2"/>
      <c r="L191" s="7">
        <f t="shared" si="83"/>
        <v>0</v>
      </c>
      <c r="M191" s="2"/>
      <c r="N191" s="6">
        <f t="shared" si="84"/>
        <v>0</v>
      </c>
      <c r="O191" s="11"/>
      <c r="P191" s="7">
        <v>-7027.5</v>
      </c>
      <c r="Q191" s="2"/>
      <c r="R191" s="6">
        <f t="shared" si="85"/>
        <v>-2.3974125833863338E-3</v>
      </c>
      <c r="S191" s="2"/>
      <c r="T191" s="7"/>
      <c r="U191" s="2"/>
      <c r="V191" s="6">
        <f t="shared" si="86"/>
        <v>0</v>
      </c>
      <c r="W191" s="2"/>
      <c r="X191" s="7">
        <f t="shared" si="87"/>
        <v>-7027.5</v>
      </c>
      <c r="Y191" s="2"/>
      <c r="Z191" s="6">
        <f t="shared" si="88"/>
        <v>0</v>
      </c>
    </row>
    <row r="192" spans="1:26" s="24" customFormat="1" hidden="1" outlineLevel="2" x14ac:dyDescent="0.25">
      <c r="A192" s="28"/>
      <c r="B192" s="11" t="str">
        <f>CONCATENATE("          ", "6259", " - ", "ROYALTY &amp; COMMISSIONS")</f>
        <v xml:space="preserve">          6259 - ROYALTY &amp; COMMISSIONS</v>
      </c>
      <c r="C192" s="11"/>
      <c r="D192" s="7">
        <v>1174.22</v>
      </c>
      <c r="E192" s="2"/>
      <c r="F192" s="6">
        <f t="shared" si="81"/>
        <v>1.5464249146909378E-3</v>
      </c>
      <c r="G192" s="2"/>
      <c r="H192" s="7">
        <v>62.6</v>
      </c>
      <c r="I192" s="2"/>
      <c r="J192" s="6">
        <f t="shared" si="82"/>
        <v>9.8926753762349542E-5</v>
      </c>
      <c r="K192" s="2"/>
      <c r="L192" s="7">
        <f t="shared" si="83"/>
        <v>1111.6200000000001</v>
      </c>
      <c r="M192" s="2"/>
      <c r="N192" s="6">
        <f t="shared" si="84"/>
        <v>17.75750798722045</v>
      </c>
      <c r="O192" s="11"/>
      <c r="P192" s="7">
        <v>1782.17</v>
      </c>
      <c r="Q192" s="2"/>
      <c r="R192" s="6">
        <f t="shared" si="85"/>
        <v>6.0798246655761261E-4</v>
      </c>
      <c r="S192" s="2"/>
      <c r="T192" s="7">
        <v>5384.8</v>
      </c>
      <c r="U192" s="2"/>
      <c r="V192" s="6">
        <f t="shared" si="86"/>
        <v>1.7055694749130335E-3</v>
      </c>
      <c r="W192" s="2"/>
      <c r="X192" s="7">
        <f t="shared" si="87"/>
        <v>-3602.63</v>
      </c>
      <c r="Y192" s="2"/>
      <c r="Z192" s="6">
        <f t="shared" si="88"/>
        <v>-0.66903691873421478</v>
      </c>
    </row>
    <row r="193" spans="1:26" s="27" customFormat="1" outlineLevel="1" collapsed="1" x14ac:dyDescent="0.25">
      <c r="A193" s="29"/>
      <c r="B193" s="14" t="str">
        <f>CONCATENATE("     ","Services                                          ")</f>
        <v xml:space="preserve">     Services                                          </v>
      </c>
      <c r="C193" s="14"/>
      <c r="D193" s="1">
        <f>SUM(OSRRefD22_16x_0)</f>
        <v>4255.71</v>
      </c>
      <c r="E193" s="1"/>
      <c r="F193" s="5">
        <f t="shared" ref="F193:F197" si="89">IF(D$12=0,0,D193/D$12)</f>
        <v>5.6046873445345603E-3</v>
      </c>
      <c r="G193" s="1"/>
      <c r="H193" s="1">
        <f>SUM(OSRRefH22_16x_0)</f>
        <v>4517.25</v>
      </c>
      <c r="I193" s="1"/>
      <c r="J193" s="5">
        <f t="shared" ref="J193:J197" si="90">IF(H$12=0,0,H193/H$12)</f>
        <v>7.138608281676893E-3</v>
      </c>
      <c r="K193" s="1"/>
      <c r="L193" s="1">
        <f t="shared" ref="L193:L197" si="91">+D193-H193</f>
        <v>-261.53999999999996</v>
      </c>
      <c r="M193" s="1"/>
      <c r="N193" s="5">
        <f t="shared" ref="N193:N197" si="92">IF(H193=0,0,L193/H193)</f>
        <v>-5.7898057446455244E-2</v>
      </c>
      <c r="O193" s="14"/>
      <c r="P193" s="1">
        <f>SUM(OSRRefP22_16x_0)</f>
        <v>21220.760000000002</v>
      </c>
      <c r="Q193" s="1"/>
      <c r="R193" s="5">
        <f t="shared" ref="R193:R197" si="93">IF(P$12=0,0,P193/P$12)</f>
        <v>7.2394047745316797E-3</v>
      </c>
      <c r="S193" s="1"/>
      <c r="T193" s="1">
        <f>SUM(OSRRefT22_16x_0)</f>
        <v>8822.77</v>
      </c>
      <c r="U193" s="1"/>
      <c r="V193" s="5">
        <f t="shared" ref="V193:V197" si="94">IF(T$12=0,0,T193/T$12)</f>
        <v>2.7945043819971893E-3</v>
      </c>
      <c r="W193" s="1"/>
      <c r="X193" s="1">
        <f t="shared" ref="X193:X197" si="95">+P193-T193</f>
        <v>12397.990000000002</v>
      </c>
      <c r="Y193" s="1"/>
      <c r="Z193" s="5">
        <f t="shared" ref="Z193:Z197" si="96">IF(T193=0,0,X193/T193)</f>
        <v>1.4052264764920768</v>
      </c>
    </row>
    <row r="194" spans="1:26" s="24" customFormat="1" hidden="1" outlineLevel="2" x14ac:dyDescent="0.25">
      <c r="A194" s="28"/>
      <c r="B194" s="11" t="str">
        <f>CONCATENATE("          ", "6282", " - ", "JANITORIAL/EXTERMINATOR EXPENS")</f>
        <v xml:space="preserve">          6282 - JANITORIAL/EXTERMINATOR EXPENS</v>
      </c>
      <c r="C194" s="11"/>
      <c r="D194" s="7">
        <v>684.57</v>
      </c>
      <c r="E194" s="2"/>
      <c r="F194" s="6">
        <f t="shared" si="89"/>
        <v>9.0156538284987095E-4</v>
      </c>
      <c r="G194" s="2"/>
      <c r="H194" s="7">
        <v>266.5</v>
      </c>
      <c r="I194" s="2"/>
      <c r="J194" s="6">
        <f t="shared" si="90"/>
        <v>4.2114983830137624E-4</v>
      </c>
      <c r="K194" s="2"/>
      <c r="L194" s="7">
        <f t="shared" si="91"/>
        <v>418.07000000000005</v>
      </c>
      <c r="M194" s="2"/>
      <c r="N194" s="6">
        <f t="shared" si="92"/>
        <v>1.5687429643527206</v>
      </c>
      <c r="O194" s="11"/>
      <c r="P194" s="7">
        <v>975.57</v>
      </c>
      <c r="Q194" s="2"/>
      <c r="R194" s="6">
        <f t="shared" si="93"/>
        <v>3.3281306210945652E-4</v>
      </c>
      <c r="S194" s="2"/>
      <c r="T194" s="7">
        <v>742.94</v>
      </c>
      <c r="U194" s="2"/>
      <c r="V194" s="6">
        <f t="shared" si="94"/>
        <v>2.3531714932623109E-4</v>
      </c>
      <c r="W194" s="2"/>
      <c r="X194" s="7">
        <f t="shared" si="95"/>
        <v>232.63</v>
      </c>
      <c r="Y194" s="2"/>
      <c r="Z194" s="6">
        <f t="shared" si="96"/>
        <v>0.31312084421352998</v>
      </c>
    </row>
    <row r="195" spans="1:26" s="24" customFormat="1" hidden="1" outlineLevel="2" x14ac:dyDescent="0.25">
      <c r="A195" s="28"/>
      <c r="B195" s="11" t="str">
        <f>CONCATENATE("          ", "6283", " - ", "PLANT SERVICE")</f>
        <v xml:space="preserve">          6283 - PLANT SERVICE</v>
      </c>
      <c r="C195" s="11"/>
      <c r="D195" s="7"/>
      <c r="E195" s="2"/>
      <c r="F195" s="6">
        <f t="shared" si="89"/>
        <v>0</v>
      </c>
      <c r="G195" s="2"/>
      <c r="H195" s="7"/>
      <c r="I195" s="2"/>
      <c r="J195" s="6">
        <f t="shared" si="90"/>
        <v>0</v>
      </c>
      <c r="K195" s="2"/>
      <c r="L195" s="7">
        <f t="shared" si="91"/>
        <v>0</v>
      </c>
      <c r="M195" s="2"/>
      <c r="N195" s="6">
        <f t="shared" si="92"/>
        <v>0</v>
      </c>
      <c r="O195" s="11"/>
      <c r="P195" s="7"/>
      <c r="Q195" s="2"/>
      <c r="R195" s="6">
        <f t="shared" si="93"/>
        <v>0</v>
      </c>
      <c r="S195" s="2"/>
      <c r="T195" s="7">
        <v>130</v>
      </c>
      <c r="U195" s="2"/>
      <c r="V195" s="6">
        <f t="shared" si="94"/>
        <v>4.1175908434611191E-5</v>
      </c>
      <c r="W195" s="2"/>
      <c r="X195" s="7">
        <f t="shared" si="95"/>
        <v>-130</v>
      </c>
      <c r="Y195" s="2"/>
      <c r="Z195" s="6">
        <f t="shared" si="96"/>
        <v>-1</v>
      </c>
    </row>
    <row r="196" spans="1:26" s="24" customFormat="1" hidden="1" outlineLevel="2" x14ac:dyDescent="0.25">
      <c r="A196" s="28"/>
      <c r="B196" s="11" t="str">
        <f>CONCATENATE("          ", "6284", " - ", "TRASH REMOVAL EXPENSE")</f>
        <v xml:space="preserve">          6284 - TRASH REMOVAL EXPENSE</v>
      </c>
      <c r="C196" s="11"/>
      <c r="D196" s="7">
        <v>149.69999999999999</v>
      </c>
      <c r="E196" s="2"/>
      <c r="F196" s="6">
        <f t="shared" si="89"/>
        <v>1.9715199002676959E-4</v>
      </c>
      <c r="G196" s="2"/>
      <c r="H196" s="7">
        <v>142.57</v>
      </c>
      <c r="I196" s="2"/>
      <c r="J196" s="6">
        <f t="shared" si="90"/>
        <v>2.2530331124437976E-4</v>
      </c>
      <c r="K196" s="2"/>
      <c r="L196" s="7">
        <f t="shared" si="91"/>
        <v>7.1299999999999955</v>
      </c>
      <c r="M196" s="2"/>
      <c r="N196" s="6">
        <f t="shared" si="92"/>
        <v>5.0010521147506461E-2</v>
      </c>
      <c r="O196" s="11"/>
      <c r="P196" s="7">
        <v>441.97</v>
      </c>
      <c r="Q196" s="2"/>
      <c r="R196" s="6">
        <f t="shared" si="93"/>
        <v>1.5077686794439814E-4</v>
      </c>
      <c r="S196" s="2"/>
      <c r="T196" s="7">
        <v>427.71</v>
      </c>
      <c r="U196" s="2"/>
      <c r="V196" s="6">
        <f t="shared" si="94"/>
        <v>1.3547190612744271E-4</v>
      </c>
      <c r="W196" s="2"/>
      <c r="X196" s="7">
        <f t="shared" si="95"/>
        <v>14.260000000000048</v>
      </c>
      <c r="Y196" s="2"/>
      <c r="Z196" s="6">
        <f t="shared" si="96"/>
        <v>3.3340347431671108E-2</v>
      </c>
    </row>
    <row r="197" spans="1:26" s="24" customFormat="1" hidden="1" outlineLevel="2" x14ac:dyDescent="0.25">
      <c r="A197" s="28"/>
      <c r="B197" s="11" t="str">
        <f>CONCATENATE("          ", "6285", " - ", "JANITORIAL SERVICES")</f>
        <v xml:space="preserve">          6285 - JANITORIAL SERVICES</v>
      </c>
      <c r="C197" s="11"/>
      <c r="D197" s="7">
        <v>3421.44</v>
      </c>
      <c r="E197" s="2"/>
      <c r="F197" s="6">
        <f t="shared" si="89"/>
        <v>4.5059699716579193E-3</v>
      </c>
      <c r="G197" s="2"/>
      <c r="H197" s="7">
        <v>4108.18</v>
      </c>
      <c r="I197" s="2"/>
      <c r="J197" s="6">
        <f t="shared" si="90"/>
        <v>6.4921551321311371E-3</v>
      </c>
      <c r="K197" s="2"/>
      <c r="L197" s="7">
        <f t="shared" si="91"/>
        <v>-686.74000000000024</v>
      </c>
      <c r="M197" s="2"/>
      <c r="N197" s="6">
        <f t="shared" si="92"/>
        <v>-0.16716404831336509</v>
      </c>
      <c r="O197" s="11"/>
      <c r="P197" s="7">
        <v>19803.22</v>
      </c>
      <c r="Q197" s="2"/>
      <c r="R197" s="6">
        <f t="shared" si="93"/>
        <v>6.7558148444778251E-3</v>
      </c>
      <c r="S197" s="2"/>
      <c r="T197" s="7">
        <v>7522.12</v>
      </c>
      <c r="U197" s="2"/>
      <c r="V197" s="6">
        <f t="shared" si="94"/>
        <v>2.3825394181089042E-3</v>
      </c>
      <c r="W197" s="2"/>
      <c r="X197" s="7">
        <f t="shared" si="95"/>
        <v>12281.100000000002</v>
      </c>
      <c r="Y197" s="2"/>
      <c r="Z197" s="6">
        <f t="shared" si="96"/>
        <v>1.6326647274970356</v>
      </c>
    </row>
    <row r="198" spans="1:26" s="27" customFormat="1" outlineLevel="1" collapsed="1" x14ac:dyDescent="0.25">
      <c r="A198" s="29"/>
      <c r="B198" s="14" t="str">
        <f>CONCATENATE("     ","Subscriptions &amp; Dues                              ")</f>
        <v xml:space="preserve">     Subscriptions &amp; Dues                              </v>
      </c>
      <c r="C198" s="14"/>
      <c r="D198" s="1">
        <f>SUM(OSRRefD22_17x_0)</f>
        <v>-72.56</v>
      </c>
      <c r="E198" s="1"/>
      <c r="F198" s="5">
        <f t="shared" ref="F198:F200" si="97">IF(D$12=0,0,D198/D$12)</f>
        <v>-9.5560109528005358E-5</v>
      </c>
      <c r="G198" s="1"/>
      <c r="H198" s="1">
        <f>SUM(OSRRefH22_17x_0)</f>
        <v>148.77000000000001</v>
      </c>
      <c r="I198" s="1"/>
      <c r="J198" s="5">
        <f t="shared" ref="J198:J200" si="98">IF(H$12=0,0,H198/H$12)</f>
        <v>2.3510116864576268E-4</v>
      </c>
      <c r="K198" s="1"/>
      <c r="L198" s="1">
        <f t="shared" ref="L198:L200" si="99">+D198-H198</f>
        <v>-221.33</v>
      </c>
      <c r="M198" s="1"/>
      <c r="N198" s="5">
        <f t="shared" ref="N198:N200" si="100">IF(H198=0,0,L198/H198)</f>
        <v>-1.4877327418162263</v>
      </c>
      <c r="O198" s="14"/>
      <c r="P198" s="1">
        <f>SUM(OSRRefP22_17x_0)</f>
        <v>52.76</v>
      </c>
      <c r="Q198" s="1"/>
      <c r="R198" s="5">
        <f t="shared" ref="R198:R200" si="101">IF(P$12=0,0,P198/P$12)</f>
        <v>1.799893104225727E-5</v>
      </c>
      <c r="S198" s="1"/>
      <c r="T198" s="1">
        <f>SUM(OSRRefT22_17x_0)</f>
        <v>783.77</v>
      </c>
      <c r="U198" s="1"/>
      <c r="V198" s="5">
        <f t="shared" ref="V198:V200" si="102">IF(T$12=0,0,T198/T$12)</f>
        <v>2.4824955195227086E-4</v>
      </c>
      <c r="W198" s="1"/>
      <c r="X198" s="1">
        <f t="shared" ref="X198:X200" si="103">+P198-T198</f>
        <v>-731.01</v>
      </c>
      <c r="Y198" s="1"/>
      <c r="Z198" s="5">
        <f t="shared" ref="Z198:Z200" si="104">IF(T198=0,0,X198/T198)</f>
        <v>-0.93268433341413937</v>
      </c>
    </row>
    <row r="199" spans="1:26" s="24" customFormat="1" hidden="1" outlineLevel="2" x14ac:dyDescent="0.25">
      <c r="A199" s="28"/>
      <c r="B199" s="11" t="str">
        <f>CONCATENATE("          ", "6258", " - ", "MEMBERSHIP DUES")</f>
        <v xml:space="preserve">          6258 - MEMBERSHIP DUES</v>
      </c>
      <c r="C199" s="11"/>
      <c r="D199" s="7">
        <v>-72.56</v>
      </c>
      <c r="E199" s="2"/>
      <c r="F199" s="6">
        <f t="shared" si="97"/>
        <v>-9.5560109528005358E-5</v>
      </c>
      <c r="G199" s="2"/>
      <c r="H199" s="7">
        <v>73.040000000000006</v>
      </c>
      <c r="I199" s="2"/>
      <c r="J199" s="6">
        <f t="shared" si="98"/>
        <v>1.1542508138661359E-4</v>
      </c>
      <c r="K199" s="2"/>
      <c r="L199" s="7">
        <f t="shared" si="99"/>
        <v>-145.60000000000002</v>
      </c>
      <c r="M199" s="2"/>
      <c r="N199" s="6">
        <f t="shared" si="100"/>
        <v>-1.9934282584884997</v>
      </c>
      <c r="O199" s="11"/>
      <c r="P199" s="7">
        <v>52.76</v>
      </c>
      <c r="Q199" s="2"/>
      <c r="R199" s="6">
        <f t="shared" si="101"/>
        <v>1.799893104225727E-5</v>
      </c>
      <c r="S199" s="2"/>
      <c r="T199" s="7">
        <v>633.04</v>
      </c>
      <c r="U199" s="2"/>
      <c r="V199" s="6">
        <f t="shared" si="102"/>
        <v>2.0050766981112515E-4</v>
      </c>
      <c r="W199" s="2"/>
      <c r="X199" s="7">
        <f t="shared" si="103"/>
        <v>-580.28</v>
      </c>
      <c r="Y199" s="2"/>
      <c r="Z199" s="6">
        <f t="shared" si="104"/>
        <v>-0.91665613547327185</v>
      </c>
    </row>
    <row r="200" spans="1:26" s="24" customFormat="1" hidden="1" outlineLevel="2" x14ac:dyDescent="0.25">
      <c r="A200" s="28"/>
      <c r="B200" s="11" t="str">
        <f>CONCATENATE("          ", "6275", " - ", "SUBSCRIPTIONS")</f>
        <v xml:space="preserve">          6275 - SUBSCRIPTIONS</v>
      </c>
      <c r="C200" s="11"/>
      <c r="D200" s="7"/>
      <c r="E200" s="2"/>
      <c r="F200" s="6">
        <f t="shared" si="97"/>
        <v>0</v>
      </c>
      <c r="G200" s="2"/>
      <c r="H200" s="7">
        <v>75.73</v>
      </c>
      <c r="I200" s="2"/>
      <c r="J200" s="6">
        <f t="shared" si="98"/>
        <v>1.1967608725914907E-4</v>
      </c>
      <c r="K200" s="2"/>
      <c r="L200" s="7">
        <f t="shared" si="99"/>
        <v>-75.73</v>
      </c>
      <c r="M200" s="2"/>
      <c r="N200" s="6">
        <f t="shared" si="100"/>
        <v>-1</v>
      </c>
      <c r="O200" s="11"/>
      <c r="P200" s="7"/>
      <c r="Q200" s="2"/>
      <c r="R200" s="6">
        <f t="shared" si="101"/>
        <v>0</v>
      </c>
      <c r="S200" s="2"/>
      <c r="T200" s="7">
        <v>150.72999999999999</v>
      </c>
      <c r="U200" s="2"/>
      <c r="V200" s="6">
        <f t="shared" si="102"/>
        <v>4.774188214114573E-5</v>
      </c>
      <c r="W200" s="2"/>
      <c r="X200" s="7">
        <f t="shared" si="103"/>
        <v>-150.72999999999999</v>
      </c>
      <c r="Y200" s="2"/>
      <c r="Z200" s="6">
        <f t="shared" si="104"/>
        <v>-1</v>
      </c>
    </row>
    <row r="201" spans="1:26" s="27" customFormat="1" outlineLevel="1" collapsed="1" x14ac:dyDescent="0.25">
      <c r="A201" s="29"/>
      <c r="B201" s="14" t="str">
        <f>CONCATENATE("     ","Supplies                                          ")</f>
        <v xml:space="preserve">     Supplies                                          </v>
      </c>
      <c r="C201" s="14"/>
      <c r="D201" s="1">
        <f>SUM(OSRRefD22_18x_0)</f>
        <v>5201.7299999999996</v>
      </c>
      <c r="E201" s="1"/>
      <c r="F201" s="5">
        <f t="shared" ref="F201:F207" si="105">IF(D$12=0,0,D201/D$12)</f>
        <v>6.850577295136594E-3</v>
      </c>
      <c r="G201" s="1"/>
      <c r="H201" s="1">
        <f>SUM(OSRRefH22_18x_0)</f>
        <v>13891.560000000001</v>
      </c>
      <c r="I201" s="1"/>
      <c r="J201" s="5">
        <f t="shared" ref="J201:J207" si="106">IF(H$12=0,0,H201/H$12)</f>
        <v>2.1952826445605506E-2</v>
      </c>
      <c r="K201" s="1"/>
      <c r="L201" s="1">
        <f t="shared" ref="L201:L207" si="107">+D201-H201</f>
        <v>-8689.8300000000017</v>
      </c>
      <c r="M201" s="1"/>
      <c r="N201" s="5">
        <f t="shared" ref="N201:N207" si="108">IF(H201=0,0,L201/H201)</f>
        <v>-0.62554745471350959</v>
      </c>
      <c r="O201" s="14"/>
      <c r="P201" s="1">
        <f>SUM(OSRRefP22_18x_0)</f>
        <v>30645.72</v>
      </c>
      <c r="Q201" s="1"/>
      <c r="R201" s="5">
        <f t="shared" ref="R201:R207" si="109">IF(P$12=0,0,P201/P$12)</f>
        <v>1.0454704340794627E-2</v>
      </c>
      <c r="S201" s="1"/>
      <c r="T201" s="1">
        <f>SUM(OSRRefT22_18x_0)</f>
        <v>34885.050000000003</v>
      </c>
      <c r="U201" s="1"/>
      <c r="V201" s="5">
        <f t="shared" ref="V201:V207" si="110">IF(T$12=0,0,T201/T$12)</f>
        <v>1.1049412496437179E-2</v>
      </c>
      <c r="W201" s="1"/>
      <c r="X201" s="1">
        <f t="shared" ref="X201:X207" si="111">+P201-T201</f>
        <v>-4239.3300000000017</v>
      </c>
      <c r="Y201" s="1"/>
      <c r="Z201" s="5">
        <f t="shared" ref="Z201:Z207" si="112">IF(T201=0,0,X201/T201)</f>
        <v>-0.1215228299801778</v>
      </c>
    </row>
    <row r="202" spans="1:26" s="24" customFormat="1" hidden="1" outlineLevel="2" x14ac:dyDescent="0.25">
      <c r="A202" s="28"/>
      <c r="B202" s="11" t="str">
        <f>CONCATENATE("          ", "6235", " - ", "COVID-19 EXPENSES")</f>
        <v xml:space="preserve">          6235 - COVID-19 EXPENSES</v>
      </c>
      <c r="C202" s="11"/>
      <c r="D202" s="7">
        <v>462.49</v>
      </c>
      <c r="E202" s="2"/>
      <c r="F202" s="6">
        <f t="shared" si="105"/>
        <v>6.090903397961301E-4</v>
      </c>
      <c r="G202" s="2"/>
      <c r="H202" s="7">
        <v>2460.7800000000002</v>
      </c>
      <c r="I202" s="2"/>
      <c r="J202" s="6">
        <f t="shared" si="106"/>
        <v>3.8887696026088585E-3</v>
      </c>
      <c r="K202" s="2"/>
      <c r="L202" s="7">
        <f t="shared" si="107"/>
        <v>-1998.2900000000002</v>
      </c>
      <c r="M202" s="2"/>
      <c r="N202" s="6">
        <f t="shared" si="108"/>
        <v>-0.81205552710929052</v>
      </c>
      <c r="O202" s="11"/>
      <c r="P202" s="7">
        <v>3430.32</v>
      </c>
      <c r="Q202" s="2"/>
      <c r="R202" s="6">
        <f t="shared" si="109"/>
        <v>1.1702443732539037E-3</v>
      </c>
      <c r="S202" s="2"/>
      <c r="T202" s="7">
        <v>9762.7900000000009</v>
      </c>
      <c r="U202" s="2"/>
      <c r="V202" s="6">
        <f t="shared" si="110"/>
        <v>3.0922442085102911E-3</v>
      </c>
      <c r="W202" s="2"/>
      <c r="X202" s="7">
        <f t="shared" si="111"/>
        <v>-6332.4700000000012</v>
      </c>
      <c r="Y202" s="2"/>
      <c r="Z202" s="6">
        <f t="shared" si="112"/>
        <v>-0.64863322882085972</v>
      </c>
    </row>
    <row r="203" spans="1:26" s="24" customFormat="1" hidden="1" outlineLevel="2" x14ac:dyDescent="0.25">
      <c r="A203" s="28"/>
      <c r="B203" s="11" t="str">
        <f>CONCATENATE("          ", "6237", " - ", "JANITORIAL SUPPLIES")</f>
        <v xml:space="preserve">          6237 - JANITORIAL SUPPLIES</v>
      </c>
      <c r="C203" s="11"/>
      <c r="D203" s="7">
        <v>247</v>
      </c>
      <c r="E203" s="2"/>
      <c r="F203" s="6">
        <f t="shared" si="105"/>
        <v>3.2529419864136335E-4</v>
      </c>
      <c r="G203" s="2"/>
      <c r="H203" s="7"/>
      <c r="I203" s="2"/>
      <c r="J203" s="6">
        <f t="shared" si="106"/>
        <v>0</v>
      </c>
      <c r="K203" s="2"/>
      <c r="L203" s="7">
        <f t="shared" si="107"/>
        <v>247</v>
      </c>
      <c r="M203" s="2"/>
      <c r="N203" s="6">
        <f t="shared" si="108"/>
        <v>0</v>
      </c>
      <c r="O203" s="11"/>
      <c r="P203" s="7">
        <v>2072.69</v>
      </c>
      <c r="Q203" s="2"/>
      <c r="R203" s="6">
        <f t="shared" si="109"/>
        <v>7.0709257736876845E-4</v>
      </c>
      <c r="S203" s="2"/>
      <c r="T203" s="7">
        <v>139.31</v>
      </c>
      <c r="U203" s="2"/>
      <c r="V203" s="6">
        <f t="shared" si="110"/>
        <v>4.4124736954043735E-5</v>
      </c>
      <c r="W203" s="2"/>
      <c r="X203" s="7">
        <f t="shared" si="111"/>
        <v>1933.38</v>
      </c>
      <c r="Y203" s="2"/>
      <c r="Z203" s="6">
        <f t="shared" si="112"/>
        <v>13.878257124398823</v>
      </c>
    </row>
    <row r="204" spans="1:26" s="24" customFormat="1" hidden="1" outlineLevel="2" x14ac:dyDescent="0.25">
      <c r="A204" s="28"/>
      <c r="B204" s="11" t="str">
        <f>CONCATENATE("          ", "6241", " - ", "OFFICE EXPENSE")</f>
        <v xml:space="preserve">          6241 - OFFICE EXPENSE</v>
      </c>
      <c r="C204" s="11"/>
      <c r="D204" s="7">
        <v>128.32</v>
      </c>
      <c r="E204" s="2"/>
      <c r="F204" s="6">
        <f t="shared" si="105"/>
        <v>1.689949456261528E-4</v>
      </c>
      <c r="G204" s="2"/>
      <c r="H204" s="7">
        <v>4794.93</v>
      </c>
      <c r="I204" s="2"/>
      <c r="J204" s="6">
        <f t="shared" si="106"/>
        <v>7.5774258692923755E-3</v>
      </c>
      <c r="K204" s="2"/>
      <c r="L204" s="7">
        <f t="shared" si="107"/>
        <v>-4666.6100000000006</v>
      </c>
      <c r="M204" s="2"/>
      <c r="N204" s="6">
        <f t="shared" si="108"/>
        <v>-0.97323839972637771</v>
      </c>
      <c r="O204" s="11"/>
      <c r="P204" s="7">
        <v>6186.34</v>
      </c>
      <c r="Q204" s="2"/>
      <c r="R204" s="6">
        <f t="shared" si="109"/>
        <v>2.1104531285814601E-3</v>
      </c>
      <c r="S204" s="2"/>
      <c r="T204" s="7">
        <v>8306.2800000000007</v>
      </c>
      <c r="U204" s="2"/>
      <c r="V204" s="6">
        <f t="shared" si="110"/>
        <v>2.6309124977864791E-3</v>
      </c>
      <c r="W204" s="2"/>
      <c r="X204" s="7">
        <f t="shared" si="111"/>
        <v>-2119.9400000000005</v>
      </c>
      <c r="Y204" s="2"/>
      <c r="Z204" s="6">
        <f t="shared" si="112"/>
        <v>-0.25522135059256373</v>
      </c>
    </row>
    <row r="205" spans="1:26" s="24" customFormat="1" hidden="1" outlineLevel="2" x14ac:dyDescent="0.25">
      <c r="A205" s="28"/>
      <c r="B205" s="11" t="str">
        <f>CONCATENATE("          ", "6243", " - ", "PAPER SUPPLIES")</f>
        <v xml:space="preserve">          6243 - PAPER SUPPLIES</v>
      </c>
      <c r="C205" s="11"/>
      <c r="D205" s="7"/>
      <c r="E205" s="2"/>
      <c r="F205" s="6">
        <f t="shared" si="105"/>
        <v>0</v>
      </c>
      <c r="G205" s="2"/>
      <c r="H205" s="7"/>
      <c r="I205" s="2"/>
      <c r="J205" s="6">
        <f t="shared" si="106"/>
        <v>0</v>
      </c>
      <c r="K205" s="2"/>
      <c r="L205" s="7">
        <f t="shared" si="107"/>
        <v>0</v>
      </c>
      <c r="M205" s="2"/>
      <c r="N205" s="6">
        <f t="shared" si="108"/>
        <v>0</v>
      </c>
      <c r="O205" s="11"/>
      <c r="P205" s="7">
        <v>3450.92</v>
      </c>
      <c r="Q205" s="2"/>
      <c r="R205" s="6">
        <f t="shared" si="109"/>
        <v>1.1772720074364378E-3</v>
      </c>
      <c r="S205" s="2"/>
      <c r="T205" s="7">
        <v>3124.69</v>
      </c>
      <c r="U205" s="2"/>
      <c r="V205" s="6">
        <f t="shared" si="110"/>
        <v>9.8970730251188668E-4</v>
      </c>
      <c r="W205" s="2"/>
      <c r="X205" s="7">
        <f t="shared" si="111"/>
        <v>326.23</v>
      </c>
      <c r="Y205" s="2"/>
      <c r="Z205" s="6">
        <f t="shared" si="112"/>
        <v>0.10440395687252176</v>
      </c>
    </row>
    <row r="206" spans="1:26" s="24" customFormat="1" hidden="1" outlineLevel="2" x14ac:dyDescent="0.25">
      <c r="A206" s="28"/>
      <c r="B206" s="11" t="str">
        <f>CONCATENATE("          ", "6245", " - ", "PRINTING")</f>
        <v xml:space="preserve">          6245 - PRINTING</v>
      </c>
      <c r="C206" s="11"/>
      <c r="D206" s="7">
        <v>276.43</v>
      </c>
      <c r="E206" s="2"/>
      <c r="F206" s="6">
        <f t="shared" si="105"/>
        <v>3.6405293656045372E-4</v>
      </c>
      <c r="G206" s="2"/>
      <c r="H206" s="7">
        <v>356.96</v>
      </c>
      <c r="I206" s="2"/>
      <c r="J206" s="6">
        <f t="shared" si="106"/>
        <v>5.641037383867139E-4</v>
      </c>
      <c r="K206" s="2"/>
      <c r="L206" s="7">
        <f t="shared" si="107"/>
        <v>-80.529999999999973</v>
      </c>
      <c r="M206" s="2"/>
      <c r="N206" s="6">
        <f t="shared" si="108"/>
        <v>-0.22559950694755709</v>
      </c>
      <c r="O206" s="11"/>
      <c r="P206" s="7">
        <v>-323.75</v>
      </c>
      <c r="Q206" s="2"/>
      <c r="R206" s="6">
        <f t="shared" si="109"/>
        <v>-1.1044643527162227E-4</v>
      </c>
      <c r="S206" s="2"/>
      <c r="T206" s="7">
        <v>61.46</v>
      </c>
      <c r="U206" s="2"/>
      <c r="V206" s="6">
        <f t="shared" si="110"/>
        <v>1.9466702556855414E-5</v>
      </c>
      <c r="W206" s="2"/>
      <c r="X206" s="7">
        <f t="shared" si="111"/>
        <v>-385.21</v>
      </c>
      <c r="Y206" s="2"/>
      <c r="Z206" s="6">
        <f t="shared" si="112"/>
        <v>-6.2676537585421412</v>
      </c>
    </row>
    <row r="207" spans="1:26" s="24" customFormat="1" hidden="1" outlineLevel="2" x14ac:dyDescent="0.25">
      <c r="A207" s="28"/>
      <c r="B207" s="11" t="str">
        <f>CONCATENATE("          ", "6247", " - ", "STORE SUPPLIES")</f>
        <v xml:space="preserve">          6247 - STORE SUPPLIES</v>
      </c>
      <c r="C207" s="11"/>
      <c r="D207" s="7">
        <v>4087.49</v>
      </c>
      <c r="E207" s="2"/>
      <c r="F207" s="6">
        <f t="shared" si="105"/>
        <v>5.3831448745124948E-3</v>
      </c>
      <c r="G207" s="2"/>
      <c r="H207" s="7">
        <v>6278.89</v>
      </c>
      <c r="I207" s="2"/>
      <c r="J207" s="6">
        <f t="shared" si="106"/>
        <v>9.9225272353175558E-3</v>
      </c>
      <c r="K207" s="2"/>
      <c r="L207" s="7">
        <f t="shared" si="107"/>
        <v>-2191.4000000000005</v>
      </c>
      <c r="M207" s="2"/>
      <c r="N207" s="6">
        <f t="shared" si="108"/>
        <v>-0.34901073278875733</v>
      </c>
      <c r="O207" s="11"/>
      <c r="P207" s="7">
        <v>15829.2</v>
      </c>
      <c r="Q207" s="2"/>
      <c r="R207" s="6">
        <f t="shared" si="109"/>
        <v>5.4000886894256788E-3</v>
      </c>
      <c r="S207" s="2"/>
      <c r="T207" s="7">
        <v>13490.52</v>
      </c>
      <c r="U207" s="2"/>
      <c r="V207" s="6">
        <f t="shared" si="110"/>
        <v>4.2729570481176236E-3</v>
      </c>
      <c r="W207" s="2"/>
      <c r="X207" s="7">
        <f t="shared" si="111"/>
        <v>2338.6800000000003</v>
      </c>
      <c r="Y207" s="2"/>
      <c r="Z207" s="6">
        <f t="shared" si="112"/>
        <v>0.17335729089760812</v>
      </c>
    </row>
    <row r="208" spans="1:26" s="27" customFormat="1" outlineLevel="1" collapsed="1" x14ac:dyDescent="0.25">
      <c r="A208" s="29"/>
      <c r="B208" s="14" t="str">
        <f>CONCATENATE("     ","Telephone/Data Lines                              ")</f>
        <v xml:space="preserve">     Telephone/Data Lines                              </v>
      </c>
      <c r="C208" s="14"/>
      <c r="D208" s="1">
        <f>SUM(OSRRefD22_19x_0)</f>
        <v>1721.14</v>
      </c>
      <c r="E208" s="1"/>
      <c r="F208" s="5">
        <f t="shared" ref="F208:F210" si="113">IF(D$12=0,0,D208/D$12)</f>
        <v>2.2667079232777171E-3</v>
      </c>
      <c r="G208" s="1"/>
      <c r="H208" s="1">
        <f>SUM(OSRRefH22_19x_0)</f>
        <v>5360.54</v>
      </c>
      <c r="I208" s="1"/>
      <c r="J208" s="5">
        <f t="shared" ref="J208:J210" si="114">IF(H$12=0,0,H208/H$12)</f>
        <v>8.4712591152272393E-3</v>
      </c>
      <c r="K208" s="1"/>
      <c r="L208" s="1">
        <f t="shared" ref="L208:L210" si="115">+D208-H208</f>
        <v>-3639.3999999999996</v>
      </c>
      <c r="M208" s="1"/>
      <c r="N208" s="5">
        <f t="shared" ref="N208:N210" si="116">IF(H208=0,0,L208/H208)</f>
        <v>-0.67892413823980413</v>
      </c>
      <c r="O208" s="14"/>
      <c r="P208" s="1">
        <f>SUM(OSRRefP22_19x_0)</f>
        <v>5864.27</v>
      </c>
      <c r="Q208" s="1"/>
      <c r="R208" s="5">
        <f t="shared" ref="R208:R210" si="117">IF(P$12=0,0,P208/P$12)</f>
        <v>2.0005798207577341E-3</v>
      </c>
      <c r="S208" s="1"/>
      <c r="T208" s="1">
        <f>SUM(OSRRefT22_19x_0)</f>
        <v>10442.34</v>
      </c>
      <c r="U208" s="1"/>
      <c r="V208" s="5">
        <f t="shared" ref="V208:V210" si="118">IF(T$12=0,0,T208/T$12)</f>
        <v>3.3074833514082913E-3</v>
      </c>
      <c r="W208" s="1"/>
      <c r="X208" s="1">
        <f t="shared" ref="X208:X210" si="119">+P208-T208</f>
        <v>-4578.07</v>
      </c>
      <c r="Y208" s="1"/>
      <c r="Z208" s="5">
        <f t="shared" ref="Z208:Z210" si="120">IF(T208=0,0,X208/T208)</f>
        <v>-0.43841418685850103</v>
      </c>
    </row>
    <row r="209" spans="1:26" s="24" customFormat="1" hidden="1" outlineLevel="2" x14ac:dyDescent="0.25">
      <c r="A209" s="28"/>
      <c r="B209" s="11" t="str">
        <f>CONCATENATE("          ", "6303", " - ", "DATA PHONE LINES")</f>
        <v xml:space="preserve">          6303 - DATA PHONE LINES</v>
      </c>
      <c r="C209" s="11"/>
      <c r="D209" s="7"/>
      <c r="E209" s="2"/>
      <c r="F209" s="6">
        <f t="shared" si="113"/>
        <v>0</v>
      </c>
      <c r="G209" s="2"/>
      <c r="H209" s="7">
        <v>885</v>
      </c>
      <c r="I209" s="2"/>
      <c r="J209" s="6">
        <f t="shared" si="114"/>
        <v>1.3985651290683602E-3</v>
      </c>
      <c r="K209" s="2"/>
      <c r="L209" s="7">
        <f t="shared" si="115"/>
        <v>-885</v>
      </c>
      <c r="M209" s="2"/>
      <c r="N209" s="6">
        <f t="shared" si="116"/>
        <v>-1</v>
      </c>
      <c r="O209" s="11"/>
      <c r="P209" s="7">
        <v>295</v>
      </c>
      <c r="Q209" s="2"/>
      <c r="R209" s="6">
        <f t="shared" si="117"/>
        <v>1.0063845067221181E-4</v>
      </c>
      <c r="S209" s="2"/>
      <c r="T209" s="7">
        <v>1180</v>
      </c>
      <c r="U209" s="2"/>
      <c r="V209" s="6">
        <f t="shared" si="118"/>
        <v>3.7375055348339394E-4</v>
      </c>
      <c r="W209" s="2"/>
      <c r="X209" s="7">
        <f t="shared" si="119"/>
        <v>-885</v>
      </c>
      <c r="Y209" s="2"/>
      <c r="Z209" s="6">
        <f t="shared" si="120"/>
        <v>-0.75</v>
      </c>
    </row>
    <row r="210" spans="1:26" s="24" customFormat="1" hidden="1" outlineLevel="2" x14ac:dyDescent="0.25">
      <c r="A210" s="28"/>
      <c r="B210" s="11" t="str">
        <f>CONCATENATE("          ", "6309", " - ", "TELEPHONE")</f>
        <v xml:space="preserve">          6309 - TELEPHONE</v>
      </c>
      <c r="C210" s="11"/>
      <c r="D210" s="7">
        <v>1721.14</v>
      </c>
      <c r="E210" s="2"/>
      <c r="F210" s="6">
        <f t="shared" si="113"/>
        <v>2.2667079232777171E-3</v>
      </c>
      <c r="G210" s="2"/>
      <c r="H210" s="7">
        <v>4475.54</v>
      </c>
      <c r="I210" s="2"/>
      <c r="J210" s="6">
        <f t="shared" si="114"/>
        <v>7.0726939861588799E-3</v>
      </c>
      <c r="K210" s="2"/>
      <c r="L210" s="7">
        <f t="shared" si="115"/>
        <v>-2754.3999999999996</v>
      </c>
      <c r="M210" s="2"/>
      <c r="N210" s="6">
        <f t="shared" si="116"/>
        <v>-0.6154341152129128</v>
      </c>
      <c r="O210" s="11"/>
      <c r="P210" s="7">
        <v>5569.27</v>
      </c>
      <c r="Q210" s="2"/>
      <c r="R210" s="6">
        <f t="shared" si="117"/>
        <v>1.8999413700855224E-3</v>
      </c>
      <c r="S210" s="2"/>
      <c r="T210" s="7">
        <v>9262.34</v>
      </c>
      <c r="U210" s="2"/>
      <c r="V210" s="6">
        <f t="shared" si="118"/>
        <v>2.9337327979248973E-3</v>
      </c>
      <c r="W210" s="2"/>
      <c r="X210" s="7">
        <f t="shared" si="119"/>
        <v>-3693.0699999999997</v>
      </c>
      <c r="Y210" s="2"/>
      <c r="Z210" s="6">
        <f t="shared" si="120"/>
        <v>-0.3987188982481748</v>
      </c>
    </row>
    <row r="211" spans="1:26" s="27" customFormat="1" outlineLevel="1" collapsed="1" x14ac:dyDescent="0.25">
      <c r="A211" s="29"/>
      <c r="B211" s="14" t="str">
        <f>CONCATENATE("     ","Training                                          ")</f>
        <v xml:space="preserve">     Training                                          </v>
      </c>
      <c r="C211" s="14"/>
      <c r="D211" s="1">
        <f>SUM(OSRRefD22_20x_0)</f>
        <v>595</v>
      </c>
      <c r="E211" s="1"/>
      <c r="F211" s="5">
        <f t="shared" ref="F211:F216" si="121">IF(D$12=0,0,D211/D$12)</f>
        <v>7.8360343397413431E-4</v>
      </c>
      <c r="G211" s="1"/>
      <c r="H211" s="1">
        <f>SUM(OSRRefH22_20x_0)</f>
        <v>0</v>
      </c>
      <c r="I211" s="1"/>
      <c r="J211" s="5">
        <f t="shared" ref="J211:J216" si="122">IF(H$12=0,0,H211/H$12)</f>
        <v>0</v>
      </c>
      <c r="K211" s="1"/>
      <c r="L211" s="1">
        <f t="shared" ref="L211:L216" si="123">+D211-H211</f>
        <v>595</v>
      </c>
      <c r="M211" s="1"/>
      <c r="N211" s="5">
        <f t="shared" ref="N211:N216" si="124">IF(H211=0,0,L211/H211)</f>
        <v>0</v>
      </c>
      <c r="O211" s="14"/>
      <c r="P211" s="1">
        <f>SUM(OSRRefP22_20x_0)</f>
        <v>595</v>
      </c>
      <c r="Q211" s="1"/>
      <c r="R211" s="5">
        <f t="shared" ref="R211:R216" si="125">IF(P$12=0,0,P211/P$12)</f>
        <v>2.02982637796495E-4</v>
      </c>
      <c r="S211" s="1"/>
      <c r="T211" s="1">
        <f>SUM(OSRRefT22_20x_0)</f>
        <v>131.63</v>
      </c>
      <c r="U211" s="1"/>
      <c r="V211" s="5">
        <f t="shared" ref="V211:V216" si="126">IF(T$12=0,0,T211/T$12)</f>
        <v>4.1692190978829776E-5</v>
      </c>
      <c r="W211" s="1"/>
      <c r="X211" s="1">
        <f t="shared" ref="X211:X216" si="127">+P211-T211</f>
        <v>463.37</v>
      </c>
      <c r="Y211" s="1"/>
      <c r="Z211" s="5">
        <f t="shared" ref="Z211:Z216" si="128">IF(T211=0,0,X211/T211)</f>
        <v>3.5202461444959359</v>
      </c>
    </row>
    <row r="212" spans="1:26" s="24" customFormat="1" hidden="1" outlineLevel="2" x14ac:dyDescent="0.25">
      <c r="A212" s="28"/>
      <c r="B212" s="11" t="str">
        <f>CONCATENATE("          ", "6376", " - ", "TRAINING")</f>
        <v xml:space="preserve">          6376 - TRAINING</v>
      </c>
      <c r="C212" s="11"/>
      <c r="D212" s="7">
        <v>595</v>
      </c>
      <c r="E212" s="2"/>
      <c r="F212" s="6">
        <f t="shared" si="121"/>
        <v>7.8360343397413431E-4</v>
      </c>
      <c r="G212" s="2"/>
      <c r="H212" s="7"/>
      <c r="I212" s="2"/>
      <c r="J212" s="6">
        <f t="shared" si="122"/>
        <v>0</v>
      </c>
      <c r="K212" s="2"/>
      <c r="L212" s="7">
        <f t="shared" si="123"/>
        <v>595</v>
      </c>
      <c r="M212" s="2"/>
      <c r="N212" s="6">
        <f t="shared" si="124"/>
        <v>0</v>
      </c>
      <c r="O212" s="11"/>
      <c r="P212" s="7">
        <v>595</v>
      </c>
      <c r="Q212" s="2"/>
      <c r="R212" s="6">
        <f t="shared" si="125"/>
        <v>2.02982637796495E-4</v>
      </c>
      <c r="S212" s="2"/>
      <c r="T212" s="7">
        <v>131.63</v>
      </c>
      <c r="U212" s="2"/>
      <c r="V212" s="6">
        <f t="shared" si="126"/>
        <v>4.1692190978829776E-5</v>
      </c>
      <c r="W212" s="2"/>
      <c r="X212" s="7">
        <f t="shared" si="127"/>
        <v>463.37</v>
      </c>
      <c r="Y212" s="2"/>
      <c r="Z212" s="6">
        <f t="shared" si="128"/>
        <v>3.5202461444959359</v>
      </c>
    </row>
    <row r="213" spans="1:26" s="27" customFormat="1" outlineLevel="1" collapsed="1" x14ac:dyDescent="0.25">
      <c r="A213" s="29"/>
      <c r="B213" s="14" t="str">
        <f>CONCATENATE("     ","Travel                                            ")</f>
        <v xml:space="preserve">     Travel                                            </v>
      </c>
      <c r="C213" s="14"/>
      <c r="D213" s="1">
        <f>SUM(OSRRefD22_21x_0)</f>
        <v>27.39</v>
      </c>
      <c r="E213" s="1"/>
      <c r="F213" s="5">
        <f t="shared" si="121"/>
        <v>3.6072097574036202E-5</v>
      </c>
      <c r="G213" s="1"/>
      <c r="H213" s="1">
        <f>SUM(OSRRefH22_21x_0)</f>
        <v>0</v>
      </c>
      <c r="I213" s="1"/>
      <c r="J213" s="5">
        <f t="shared" si="122"/>
        <v>0</v>
      </c>
      <c r="K213" s="1"/>
      <c r="L213" s="1">
        <f t="shared" si="123"/>
        <v>27.39</v>
      </c>
      <c r="M213" s="1"/>
      <c r="N213" s="5">
        <f t="shared" si="124"/>
        <v>0</v>
      </c>
      <c r="O213" s="14"/>
      <c r="P213" s="1">
        <f>SUM(OSRRefP22_21x_0)</f>
        <v>710.53</v>
      </c>
      <c r="Q213" s="1"/>
      <c r="R213" s="5">
        <f t="shared" si="125"/>
        <v>2.4239538425805643E-4</v>
      </c>
      <c r="S213" s="1"/>
      <c r="T213" s="1">
        <f>SUM(OSRRefT22_21x_0)</f>
        <v>300.96999999999997</v>
      </c>
      <c r="U213" s="1"/>
      <c r="V213" s="5">
        <f t="shared" si="126"/>
        <v>9.5328562781268696E-5</v>
      </c>
      <c r="W213" s="1"/>
      <c r="X213" s="1">
        <f t="shared" si="127"/>
        <v>409.56</v>
      </c>
      <c r="Y213" s="1"/>
      <c r="Z213" s="5">
        <f t="shared" si="128"/>
        <v>1.3608000797421671</v>
      </c>
    </row>
    <row r="214" spans="1:26" s="24" customFormat="1" hidden="1" outlineLevel="2" x14ac:dyDescent="0.25">
      <c r="A214" s="28"/>
      <c r="B214" s="11" t="str">
        <f>CONCATENATE("          ", "6292", " - ", "TRAVEL/CONFERENCE")</f>
        <v xml:space="preserve">          6292 - TRAVEL/CONFERENCE</v>
      </c>
      <c r="C214" s="11"/>
      <c r="D214" s="7"/>
      <c r="E214" s="2"/>
      <c r="F214" s="6">
        <f t="shared" si="121"/>
        <v>0</v>
      </c>
      <c r="G214" s="2"/>
      <c r="H214" s="7"/>
      <c r="I214" s="2"/>
      <c r="J214" s="6">
        <f t="shared" si="122"/>
        <v>0</v>
      </c>
      <c r="K214" s="2"/>
      <c r="L214" s="7">
        <f t="shared" si="123"/>
        <v>0</v>
      </c>
      <c r="M214" s="2"/>
      <c r="N214" s="6">
        <f t="shared" si="124"/>
        <v>0</v>
      </c>
      <c r="O214" s="11"/>
      <c r="P214" s="7">
        <v>495</v>
      </c>
      <c r="Q214" s="2"/>
      <c r="R214" s="6">
        <f t="shared" si="125"/>
        <v>1.6886790875506727E-4</v>
      </c>
      <c r="S214" s="2"/>
      <c r="T214" s="7">
        <v>0.16</v>
      </c>
      <c r="U214" s="2"/>
      <c r="V214" s="6">
        <f t="shared" si="126"/>
        <v>5.0678041150290699E-8</v>
      </c>
      <c r="W214" s="2"/>
      <c r="X214" s="7">
        <f t="shared" si="127"/>
        <v>494.84</v>
      </c>
      <c r="Y214" s="2"/>
      <c r="Z214" s="6">
        <f t="shared" si="128"/>
        <v>3092.75</v>
      </c>
    </row>
    <row r="215" spans="1:26" s="24" customFormat="1" hidden="1" outlineLevel="2" x14ac:dyDescent="0.25">
      <c r="A215" s="28"/>
      <c r="B215" s="11" t="str">
        <f>CONCATENATE("          ", "6294", " - ", "TRAVEL OPERATIONAL")</f>
        <v xml:space="preserve">          6294 - TRAVEL OPERATIONAL</v>
      </c>
      <c r="C215" s="11"/>
      <c r="D215" s="7">
        <v>27.39</v>
      </c>
      <c r="E215" s="2"/>
      <c r="F215" s="6">
        <f t="shared" si="121"/>
        <v>3.6072097574036202E-5</v>
      </c>
      <c r="G215" s="2"/>
      <c r="H215" s="7"/>
      <c r="I215" s="2"/>
      <c r="J215" s="6">
        <f t="shared" si="122"/>
        <v>0</v>
      </c>
      <c r="K215" s="2"/>
      <c r="L215" s="7">
        <f t="shared" si="123"/>
        <v>27.39</v>
      </c>
      <c r="M215" s="2"/>
      <c r="N215" s="6">
        <f t="shared" si="124"/>
        <v>0</v>
      </c>
      <c r="O215" s="11"/>
      <c r="P215" s="7">
        <v>215.53</v>
      </c>
      <c r="Q215" s="2"/>
      <c r="R215" s="6">
        <f t="shared" si="125"/>
        <v>7.3527475502989186E-5</v>
      </c>
      <c r="S215" s="2"/>
      <c r="T215" s="7">
        <v>240.92</v>
      </c>
      <c r="U215" s="2"/>
      <c r="V215" s="6">
        <f t="shared" si="126"/>
        <v>7.6308460462050218E-5</v>
      </c>
      <c r="W215" s="2"/>
      <c r="X215" s="7">
        <f t="shared" si="127"/>
        <v>-25.389999999999986</v>
      </c>
      <c r="Y215" s="2"/>
      <c r="Z215" s="6">
        <f t="shared" si="128"/>
        <v>-0.10538768055786148</v>
      </c>
    </row>
    <row r="216" spans="1:26" s="24" customFormat="1" hidden="1" outlineLevel="2" x14ac:dyDescent="0.25">
      <c r="A216" s="28"/>
      <c r="B216" s="11" t="str">
        <f>CONCATENATE("          ", "6298", " - ", "VEHICLE MILEAGE")</f>
        <v xml:space="preserve">          6298 - VEHICLE MILEAGE</v>
      </c>
      <c r="C216" s="11"/>
      <c r="D216" s="7"/>
      <c r="E216" s="2"/>
      <c r="F216" s="6">
        <f t="shared" si="121"/>
        <v>0</v>
      </c>
      <c r="G216" s="2"/>
      <c r="H216" s="7"/>
      <c r="I216" s="2"/>
      <c r="J216" s="6">
        <f t="shared" si="122"/>
        <v>0</v>
      </c>
      <c r="K216" s="2"/>
      <c r="L216" s="7">
        <f t="shared" si="123"/>
        <v>0</v>
      </c>
      <c r="M216" s="2"/>
      <c r="N216" s="6">
        <f t="shared" si="124"/>
        <v>0</v>
      </c>
      <c r="O216" s="11"/>
      <c r="P216" s="7"/>
      <c r="Q216" s="2"/>
      <c r="R216" s="6">
        <f t="shared" si="125"/>
        <v>0</v>
      </c>
      <c r="S216" s="2"/>
      <c r="T216" s="7">
        <v>59.89</v>
      </c>
      <c r="U216" s="2"/>
      <c r="V216" s="6">
        <f t="shared" si="126"/>
        <v>1.8969424278068188E-5</v>
      </c>
      <c r="W216" s="2"/>
      <c r="X216" s="7">
        <f t="shared" si="127"/>
        <v>-59.89</v>
      </c>
      <c r="Y216" s="2"/>
      <c r="Z216" s="6">
        <f t="shared" si="128"/>
        <v>-1</v>
      </c>
    </row>
    <row r="217" spans="1:26" s="27" customFormat="1" outlineLevel="1" collapsed="1" x14ac:dyDescent="0.25">
      <c r="A217" s="29"/>
      <c r="B217" s="14" t="str">
        <f>CONCATENATE("     ","Utilities                                         ")</f>
        <v xml:space="preserve">     Utilities                                         </v>
      </c>
      <c r="C217" s="14"/>
      <c r="D217" s="1">
        <f>SUM(OSRRefD22_22x_0)</f>
        <v>6037.6</v>
      </c>
      <c r="E217" s="1"/>
      <c r="F217" s="5">
        <f t="shared" ref="F217:F218" si="129">IF(D$12=0,0,D217/D$12)</f>
        <v>7.9514018369113166E-3</v>
      </c>
      <c r="G217" s="1"/>
      <c r="H217" s="1">
        <f>SUM(OSRRefH22_22x_0)</f>
        <v>6161.01</v>
      </c>
      <c r="I217" s="1"/>
      <c r="J217" s="5">
        <f t="shared" ref="J217:J218" si="130">IF(H$12=0,0,H217/H$12)</f>
        <v>9.7362415207248119E-3</v>
      </c>
      <c r="K217" s="1"/>
      <c r="L217" s="1">
        <f t="shared" ref="L217:L218" si="131">+D217-H217</f>
        <v>-123.40999999999985</v>
      </c>
      <c r="M217" s="1"/>
      <c r="N217" s="5">
        <f t="shared" ref="N217:N218" si="132">IF(H217=0,0,L217/H217)</f>
        <v>-2.0030806637223418E-2</v>
      </c>
      <c r="O217" s="14"/>
      <c r="P217" s="1">
        <f>SUM(OSRRefP22_22x_0)</f>
        <v>18111.38</v>
      </c>
      <c r="Q217" s="1"/>
      <c r="R217" s="5">
        <f t="shared" ref="R217:R218" si="133">IF(P$12=0,0,P217/P$12)</f>
        <v>6.1786482126633341E-3</v>
      </c>
      <c r="S217" s="1"/>
      <c r="T217" s="1">
        <f>SUM(OSRRefT22_22x_0)</f>
        <v>18482.38</v>
      </c>
      <c r="U217" s="1"/>
      <c r="V217" s="5">
        <f t="shared" ref="V217:V218" si="134">IF(T$12=0,0,T217/T$12)</f>
        <v>5.8540675887206869E-3</v>
      </c>
      <c r="W217" s="1"/>
      <c r="X217" s="1">
        <f t="shared" ref="X217:X218" si="135">+P217-T217</f>
        <v>-371</v>
      </c>
      <c r="Y217" s="1"/>
      <c r="Z217" s="5">
        <f t="shared" ref="Z217:Z218" si="136">IF(T217=0,0,X217/T217)</f>
        <v>-2.0073172394464347E-2</v>
      </c>
    </row>
    <row r="218" spans="1:26" s="24" customFormat="1" hidden="1" outlineLevel="2" x14ac:dyDescent="0.25">
      <c r="A218" s="28"/>
      <c r="B218" s="11" t="str">
        <f>CONCATENATE("          ", "6274", " - ", "UTILITIES")</f>
        <v xml:space="preserve">          6274 - UTILITIES</v>
      </c>
      <c r="C218" s="11"/>
      <c r="D218" s="7">
        <v>6037.6</v>
      </c>
      <c r="E218" s="2"/>
      <c r="F218" s="6">
        <f t="shared" si="129"/>
        <v>7.9514018369113166E-3</v>
      </c>
      <c r="G218" s="2"/>
      <c r="H218" s="7">
        <v>6161.01</v>
      </c>
      <c r="I218" s="2"/>
      <c r="J218" s="6">
        <f t="shared" si="130"/>
        <v>9.7362415207248119E-3</v>
      </c>
      <c r="K218" s="2"/>
      <c r="L218" s="7">
        <f t="shared" si="131"/>
        <v>-123.40999999999985</v>
      </c>
      <c r="M218" s="2"/>
      <c r="N218" s="6">
        <f t="shared" si="132"/>
        <v>-2.0030806637223418E-2</v>
      </c>
      <c r="O218" s="11"/>
      <c r="P218" s="7">
        <v>18111.38</v>
      </c>
      <c r="Q218" s="2"/>
      <c r="R218" s="6">
        <f t="shared" si="133"/>
        <v>6.1786482126633341E-3</v>
      </c>
      <c r="S218" s="2"/>
      <c r="T218" s="7">
        <v>18482.38</v>
      </c>
      <c r="U218" s="2"/>
      <c r="V218" s="6">
        <f t="shared" si="134"/>
        <v>5.8540675887206869E-3</v>
      </c>
      <c r="W218" s="2"/>
      <c r="X218" s="7">
        <f t="shared" si="135"/>
        <v>-371</v>
      </c>
      <c r="Y218" s="2"/>
      <c r="Z218" s="6">
        <f t="shared" si="136"/>
        <v>-2.0073172394464347E-2</v>
      </c>
    </row>
    <row r="219" spans="1:26" s="54" customFormat="1" x14ac:dyDescent="0.25">
      <c r="A219" s="37"/>
      <c r="B219" s="37"/>
      <c r="C219" s="37"/>
      <c r="D219" s="1"/>
      <c r="E219" s="1"/>
      <c r="F219" s="5"/>
      <c r="G219" s="1"/>
      <c r="H219" s="1"/>
      <c r="I219" s="1"/>
      <c r="J219" s="5"/>
      <c r="K219" s="1"/>
      <c r="L219" s="1"/>
      <c r="M219" s="1"/>
      <c r="N219" s="5"/>
      <c r="O219" s="37"/>
      <c r="P219" s="1"/>
      <c r="Q219" s="1"/>
      <c r="R219" s="5"/>
      <c r="S219" s="1"/>
      <c r="T219" s="1"/>
      <c r="U219" s="1"/>
      <c r="V219" s="5"/>
      <c r="W219" s="1"/>
      <c r="X219" s="1"/>
      <c r="Y219" s="1"/>
      <c r="Z219" s="5"/>
    </row>
    <row r="220" spans="1:26" s="23" customFormat="1" collapsed="1" x14ac:dyDescent="0.25">
      <c r="A220" s="10"/>
      <c r="B220" s="26" t="s">
        <v>292</v>
      </c>
      <c r="C220" s="10"/>
      <c r="D220" s="4">
        <f>SUM(OSRRefD25x_0)</f>
        <v>179244.44999999998</v>
      </c>
      <c r="E220" s="4"/>
      <c r="F220" s="12">
        <f t="shared" ref="F220:F226" si="137">IF(D$12=0,0,D220/D$12)</f>
        <v>0.23606145637110085</v>
      </c>
      <c r="G220" s="4"/>
      <c r="H220" s="4">
        <f>SUM(OSRRefH25x_0)</f>
        <v>166946.43</v>
      </c>
      <c r="I220" s="4"/>
      <c r="J220" s="12">
        <f t="shared" ref="J220:J226" si="138">IF(H$12=0,0,H220/H$12)</f>
        <v>0.2638253733564429</v>
      </c>
      <c r="K220" s="4"/>
      <c r="L220" s="4">
        <f t="shared" ref="L220:L226" si="139">+D220-H220</f>
        <v>12298.01999999999</v>
      </c>
      <c r="M220" s="4"/>
      <c r="N220" s="12">
        <f t="shared" ref="N220:N226" si="140">IF(H220=0,0,L220/H220)</f>
        <v>7.3664468296806285E-2</v>
      </c>
      <c r="O220" s="10"/>
      <c r="P220" s="4">
        <f>SUM(OSRRefP25x_0)</f>
        <v>365622.72</v>
      </c>
      <c r="Q220" s="4"/>
      <c r="R220" s="12">
        <f t="shared" ref="R220:R226" si="141">IF(P$12=0,0,P220/P$12)</f>
        <v>0.12473120024189799</v>
      </c>
      <c r="S220" s="4"/>
      <c r="T220" s="4">
        <f>SUM(OSRRefT25x_0)</f>
        <v>421172.92000000004</v>
      </c>
      <c r="U220" s="4"/>
      <c r="V220" s="12">
        <f t="shared" ref="V220:V226" si="142">IF(T$12=0,0,T220/T$12)</f>
        <v>0.13340136606967559</v>
      </c>
      <c r="W220" s="4"/>
      <c r="X220" s="4">
        <f t="shared" ref="X220:X226" si="143">+P220-T220</f>
        <v>-55550.20000000007</v>
      </c>
      <c r="Y220" s="4"/>
      <c r="Z220" s="12">
        <f t="shared" ref="Z220:Z226" si="144">IF(T220=0,0,X220/T220)</f>
        <v>-0.13189404484979725</v>
      </c>
    </row>
    <row r="221" spans="1:26" s="24" customFormat="1" hidden="1" outlineLevel="1" x14ac:dyDescent="0.25">
      <c r="A221" s="44"/>
      <c r="B221" s="11" t="str">
        <f>CONCATENATE("          ", "4187", " - ", "NON-TAXABLE SALES-COMPUTER REP")</f>
        <v xml:space="preserve">          4187 - NON-TAXABLE SALES-COMPUTER REP</v>
      </c>
      <c r="C221" s="11"/>
      <c r="D221" s="2">
        <f>0</f>
        <v>0</v>
      </c>
      <c r="E221" s="2"/>
      <c r="F221" s="19">
        <f t="shared" si="137"/>
        <v>0</v>
      </c>
      <c r="G221" s="2"/>
      <c r="H221" s="2">
        <f>--125.14</f>
        <v>125.14</v>
      </c>
      <c r="I221" s="2"/>
      <c r="J221" s="19">
        <f t="shared" si="138"/>
        <v>1.9775868954984699E-4</v>
      </c>
      <c r="K221" s="2"/>
      <c r="L221" s="2">
        <f t="shared" si="139"/>
        <v>-125.14</v>
      </c>
      <c r="M221" s="2"/>
      <c r="N221" s="19">
        <f t="shared" si="140"/>
        <v>-1</v>
      </c>
      <c r="O221" s="11"/>
      <c r="P221" s="2">
        <f>0</f>
        <v>0</v>
      </c>
      <c r="Q221" s="2"/>
      <c r="R221" s="19">
        <f t="shared" si="141"/>
        <v>0</v>
      </c>
      <c r="S221" s="2"/>
      <c r="T221" s="2">
        <f>--145.13</f>
        <v>145.13</v>
      </c>
      <c r="U221" s="2"/>
      <c r="V221" s="19">
        <f t="shared" si="142"/>
        <v>4.5968150700885559E-5</v>
      </c>
      <c r="W221" s="2"/>
      <c r="X221" s="2">
        <f t="shared" si="143"/>
        <v>-145.13</v>
      </c>
      <c r="Y221" s="2"/>
      <c r="Z221" s="19">
        <f t="shared" si="144"/>
        <v>-1</v>
      </c>
    </row>
    <row r="222" spans="1:26" s="24" customFormat="1" hidden="1" outlineLevel="1" x14ac:dyDescent="0.25">
      <c r="A222" s="44"/>
      <c r="B222" s="11" t="str">
        <f>CONCATENATE("          ", "9087", " - ", "")</f>
        <v xml:space="preserve">          9087 - </v>
      </c>
      <c r="C222" s="11"/>
      <c r="D222" s="2">
        <f>-656.36</f>
        <v>-656.36</v>
      </c>
      <c r="E222" s="2"/>
      <c r="F222" s="19">
        <f t="shared" si="137"/>
        <v>-8.6441336121556773E-4</v>
      </c>
      <c r="G222" s="2"/>
      <c r="H222" s="2">
        <f>0</f>
        <v>0</v>
      </c>
      <c r="I222" s="2"/>
      <c r="J222" s="19">
        <f t="shared" si="138"/>
        <v>0</v>
      </c>
      <c r="K222" s="2"/>
      <c r="L222" s="2">
        <f t="shared" si="139"/>
        <v>-656.36</v>
      </c>
      <c r="M222" s="2"/>
      <c r="N222" s="19">
        <f t="shared" si="140"/>
        <v>0</v>
      </c>
      <c r="O222" s="11"/>
      <c r="P222" s="2">
        <f>--363.65</f>
        <v>363.65</v>
      </c>
      <c r="Q222" s="2"/>
      <c r="R222" s="19">
        <f t="shared" si="141"/>
        <v>1.2405821215915192E-4</v>
      </c>
      <c r="S222" s="2"/>
      <c r="T222" s="2">
        <f>0</f>
        <v>0</v>
      </c>
      <c r="U222" s="2"/>
      <c r="V222" s="19">
        <f t="shared" si="142"/>
        <v>0</v>
      </c>
      <c r="W222" s="2"/>
      <c r="X222" s="2">
        <f t="shared" si="143"/>
        <v>363.65</v>
      </c>
      <c r="Y222" s="2"/>
      <c r="Z222" s="19">
        <f t="shared" si="144"/>
        <v>0</v>
      </c>
    </row>
    <row r="223" spans="1:26" s="24" customFormat="1" hidden="1" outlineLevel="1" x14ac:dyDescent="0.25">
      <c r="A223" s="44"/>
      <c r="B223" s="11" t="str">
        <f>CONCATENATE("          ", "9150", " - ", "MISC. INCOME")</f>
        <v xml:space="preserve">          9150 - MISC. INCOME</v>
      </c>
      <c r="C223" s="11"/>
      <c r="D223" s="2">
        <f>--22367.43</f>
        <v>22367.43</v>
      </c>
      <c r="E223" s="2"/>
      <c r="F223" s="19">
        <f t="shared" si="137"/>
        <v>2.9457470516262307E-2</v>
      </c>
      <c r="G223" s="2"/>
      <c r="H223" s="2">
        <f>--18993.35</f>
        <v>18993.349999999999</v>
      </c>
      <c r="I223" s="2"/>
      <c r="J223" s="19">
        <f t="shared" si="138"/>
        <v>3.0015183044283092E-2</v>
      </c>
      <c r="K223" s="2"/>
      <c r="L223" s="2">
        <f t="shared" si="139"/>
        <v>3374.0800000000017</v>
      </c>
      <c r="M223" s="2"/>
      <c r="N223" s="19">
        <f t="shared" si="140"/>
        <v>0.1776453337615535</v>
      </c>
      <c r="O223" s="11"/>
      <c r="P223" s="2">
        <f>--131846.36</f>
        <v>131846.35999999999</v>
      </c>
      <c r="Q223" s="2"/>
      <c r="R223" s="19">
        <f t="shared" si="141"/>
        <v>4.4979028464985346E-2</v>
      </c>
      <c r="S223" s="2"/>
      <c r="T223" s="2">
        <f>--110989.56</f>
        <v>110989.56</v>
      </c>
      <c r="U223" s="2"/>
      <c r="V223" s="19">
        <f t="shared" si="142"/>
        <v>3.5154584305829115E-2</v>
      </c>
      <c r="W223" s="2"/>
      <c r="X223" s="2">
        <f t="shared" si="143"/>
        <v>20856.799999999988</v>
      </c>
      <c r="Y223" s="2"/>
      <c r="Z223" s="19">
        <f t="shared" si="144"/>
        <v>0.18791677343346516</v>
      </c>
    </row>
    <row r="224" spans="1:26" s="24" customFormat="1" hidden="1" outlineLevel="1" x14ac:dyDescent="0.25">
      <c r="A224" s="44"/>
      <c r="B224" s="11" t="str">
        <f>CONCATENATE("          ", "9151", " - ", "MISC. INCOME")</f>
        <v xml:space="preserve">          9151 - MISC. INCOME</v>
      </c>
      <c r="C224" s="11"/>
      <c r="D224" s="2">
        <f>--156907</f>
        <v>156907</v>
      </c>
      <c r="E224" s="2"/>
      <c r="F224" s="19">
        <f t="shared" si="137"/>
        <v>0.20664346893206639</v>
      </c>
      <c r="G224" s="2"/>
      <c r="H224" s="2">
        <f>--147285.39</f>
        <v>147285.39000000001</v>
      </c>
      <c r="I224" s="2"/>
      <c r="J224" s="19">
        <f t="shared" si="138"/>
        <v>0.23275504008500994</v>
      </c>
      <c r="K224" s="2"/>
      <c r="L224" s="2">
        <f t="shared" si="139"/>
        <v>9621.609999999986</v>
      </c>
      <c r="M224" s="2"/>
      <c r="N224" s="19">
        <f t="shared" si="140"/>
        <v>6.5326302900783201E-2</v>
      </c>
      <c r="O224" s="11"/>
      <c r="P224" s="2">
        <f>--168463.36</f>
        <v>168463.35999999999</v>
      </c>
      <c r="Q224" s="2"/>
      <c r="R224" s="19">
        <f t="shared" si="141"/>
        <v>5.7470818798084938E-2</v>
      </c>
      <c r="S224" s="2"/>
      <c r="T224" s="2">
        <f>--147285.39</f>
        <v>147285.39000000001</v>
      </c>
      <c r="U224" s="2"/>
      <c r="V224" s="19">
        <f t="shared" si="142"/>
        <v>4.6650844095353847E-2</v>
      </c>
      <c r="W224" s="2"/>
      <c r="X224" s="2">
        <f t="shared" si="143"/>
        <v>21177.969999999972</v>
      </c>
      <c r="Y224" s="2"/>
      <c r="Z224" s="19">
        <f t="shared" si="144"/>
        <v>0.14378866770152809</v>
      </c>
    </row>
    <row r="225" spans="1:26" s="24" customFormat="1" hidden="1" outlineLevel="1" x14ac:dyDescent="0.25">
      <c r="A225" s="44"/>
      <c r="B225" s="11" t="str">
        <f>CONCATENATE("          ", "9152", " - ", "MISC. INCOME")</f>
        <v xml:space="preserve">          9152 - MISC. INCOME</v>
      </c>
      <c r="C225" s="11"/>
      <c r="D225" s="2">
        <f>--935.08</f>
        <v>935.08</v>
      </c>
      <c r="E225" s="2"/>
      <c r="F225" s="19">
        <f t="shared" si="137"/>
        <v>1.231482183261401E-3</v>
      </c>
      <c r="G225" s="2"/>
      <c r="H225" s="2">
        <f>--542.55</f>
        <v>542.54999999999995</v>
      </c>
      <c r="I225" s="2"/>
      <c r="J225" s="19">
        <f t="shared" si="138"/>
        <v>8.5739153760004379E-4</v>
      </c>
      <c r="K225" s="2"/>
      <c r="L225" s="2">
        <f t="shared" si="139"/>
        <v>392.53000000000009</v>
      </c>
      <c r="M225" s="2"/>
      <c r="N225" s="19">
        <f t="shared" si="140"/>
        <v>0.72349092249562275</v>
      </c>
      <c r="O225" s="11"/>
      <c r="P225" s="2">
        <f>--1938.11</f>
        <v>1938.11</v>
      </c>
      <c r="Q225" s="2"/>
      <c r="R225" s="19">
        <f t="shared" si="141"/>
        <v>6.6118097502481494E-4</v>
      </c>
      <c r="S225" s="2"/>
      <c r="T225" s="2">
        <f>--2088.94</f>
        <v>2088.94</v>
      </c>
      <c r="U225" s="2"/>
      <c r="V225" s="19">
        <f t="shared" si="142"/>
        <v>6.6164617050305157E-4</v>
      </c>
      <c r="W225" s="2"/>
      <c r="X225" s="2">
        <f t="shared" si="143"/>
        <v>-150.83000000000015</v>
      </c>
      <c r="Y225" s="2"/>
      <c r="Z225" s="19">
        <f t="shared" si="144"/>
        <v>-7.2204084368148513E-2</v>
      </c>
    </row>
    <row r="226" spans="1:26" s="24" customFormat="1" hidden="1" outlineLevel="1" x14ac:dyDescent="0.25">
      <c r="A226" s="44"/>
      <c r="B226" s="11" t="str">
        <f>CONCATENATE("          ", "9163", " - ", "MISC. INCOME")</f>
        <v xml:space="preserve">          9163 - MISC. INCOME</v>
      </c>
      <c r="C226" s="11"/>
      <c r="D226" s="2">
        <f>-308.7</f>
        <v>-308.7</v>
      </c>
      <c r="E226" s="2"/>
      <c r="F226" s="19">
        <f t="shared" si="137"/>
        <v>-4.0655189927363912E-4</v>
      </c>
      <c r="G226" s="2"/>
      <c r="H226" s="2">
        <f>0</f>
        <v>0</v>
      </c>
      <c r="I226" s="2"/>
      <c r="J226" s="19">
        <f t="shared" si="138"/>
        <v>0</v>
      </c>
      <c r="K226" s="2"/>
      <c r="L226" s="2">
        <f t="shared" si="139"/>
        <v>-308.7</v>
      </c>
      <c r="M226" s="2"/>
      <c r="N226" s="19">
        <f t="shared" si="140"/>
        <v>0</v>
      </c>
      <c r="O226" s="11"/>
      <c r="P226" s="2">
        <f>--63011.24</f>
        <v>63011.24</v>
      </c>
      <c r="Q226" s="2"/>
      <c r="R226" s="19">
        <f t="shared" si="141"/>
        <v>2.1496113791643727E-2</v>
      </c>
      <c r="S226" s="2"/>
      <c r="T226" s="2">
        <f>--160663.9</f>
        <v>160663.9</v>
      </c>
      <c r="U226" s="2"/>
      <c r="V226" s="19">
        <f t="shared" si="142"/>
        <v>5.0888323347288683E-2</v>
      </c>
      <c r="W226" s="2"/>
      <c r="X226" s="2">
        <f t="shared" si="143"/>
        <v>-97652.66</v>
      </c>
      <c r="Y226" s="2"/>
      <c r="Z226" s="19">
        <f t="shared" si="144"/>
        <v>-0.60780710539206384</v>
      </c>
    </row>
    <row r="227" spans="1:26" x14ac:dyDescent="0.25">
      <c r="A227" s="9"/>
      <c r="B227" s="10"/>
      <c r="C227" s="10"/>
      <c r="D227" s="3"/>
      <c r="E227" s="3"/>
      <c r="F227" s="8"/>
      <c r="G227" s="3"/>
      <c r="H227" s="3"/>
      <c r="I227" s="3"/>
      <c r="J227" s="8"/>
      <c r="K227" s="3"/>
      <c r="L227" s="3"/>
      <c r="M227" s="3"/>
      <c r="N227" s="8"/>
      <c r="O227" s="10"/>
      <c r="P227" s="3"/>
      <c r="Q227" s="3"/>
      <c r="R227" s="8"/>
      <c r="S227" s="3"/>
      <c r="T227" s="3"/>
      <c r="U227" s="3"/>
      <c r="V227" s="8"/>
      <c r="W227" s="3"/>
      <c r="X227" s="3"/>
      <c r="Y227" s="3"/>
      <c r="Z227" s="8"/>
    </row>
    <row r="228" spans="1:26" s="23" customFormat="1" x14ac:dyDescent="0.25">
      <c r="A228" s="10"/>
      <c r="B228" s="25" t="s">
        <v>276</v>
      </c>
      <c r="C228" s="25"/>
      <c r="D228" s="21">
        <f>+D134-D136+D220</f>
        <v>131917.63999999998</v>
      </c>
      <c r="E228" s="13"/>
      <c r="F228" s="22">
        <f>IF(D$12=0,0,D228/D$12)</f>
        <v>0.17373296757271195</v>
      </c>
      <c r="G228" s="13"/>
      <c r="H228" s="21">
        <f>+H134-H136+H220</f>
        <v>34339.07000000024</v>
      </c>
      <c r="I228" s="13"/>
      <c r="J228" s="22">
        <f>IF(H$12=0,0,H228/H$12)</f>
        <v>5.4266017928404284E-2</v>
      </c>
      <c r="K228" s="16"/>
      <c r="L228" s="21">
        <f>+D228-H228</f>
        <v>97578.569999999745</v>
      </c>
      <c r="M228" s="16"/>
      <c r="N228" s="22">
        <f>IF(H228=0,0,L228/H228)</f>
        <v>2.8416194730957787</v>
      </c>
      <c r="O228" s="26"/>
      <c r="P228" s="21">
        <f>+P134-P136+P220</f>
        <v>262026.62000000023</v>
      </c>
      <c r="Q228" s="13"/>
      <c r="R228" s="22">
        <f>IF(P$12=0,0,P228/P$12)</f>
        <v>8.9389671429411566E-2</v>
      </c>
      <c r="S228" s="13"/>
      <c r="T228" s="21">
        <f>+T134-T136+T220</f>
        <v>358317.6099999994</v>
      </c>
      <c r="U228" s="13"/>
      <c r="V228" s="22">
        <f>IF(T$12=0,0,T228/T$12)</f>
        <v>0.11349271615283615</v>
      </c>
      <c r="W228" s="16"/>
      <c r="X228" s="21">
        <f>+P228-T228</f>
        <v>-96290.989999999176</v>
      </c>
      <c r="Y228" s="16"/>
      <c r="Z228" s="22">
        <f>IF(T228=0,0,X228/T228)</f>
        <v>-0.26873083351945593</v>
      </c>
    </row>
    <row r="229" spans="1:26" x14ac:dyDescent="0.25">
      <c r="A229" s="9"/>
      <c r="B229" s="10"/>
      <c r="C229" s="9"/>
      <c r="D229" s="3"/>
      <c r="E229" s="3"/>
      <c r="F229" s="8"/>
      <c r="G229" s="3"/>
      <c r="H229" s="3"/>
      <c r="I229" s="3"/>
      <c r="J229" s="8"/>
      <c r="K229" s="3"/>
      <c r="L229" s="3"/>
      <c r="M229" s="3"/>
      <c r="N229" s="8"/>
      <c r="P229" s="3"/>
      <c r="Q229" s="3"/>
      <c r="R229" s="8"/>
      <c r="S229" s="3"/>
      <c r="T229" s="3"/>
      <c r="U229" s="3"/>
      <c r="V229" s="8"/>
      <c r="W229" s="3"/>
      <c r="X229" s="3"/>
      <c r="Y229" s="3"/>
      <c r="Z229" s="8"/>
    </row>
    <row r="230" spans="1:26" s="23" customFormat="1" x14ac:dyDescent="0.25">
      <c r="A230" s="51"/>
      <c r="B230" s="10" t="s">
        <v>127</v>
      </c>
      <c r="C230" s="10"/>
      <c r="D230" s="4">
        <v>38257.19</v>
      </c>
      <c r="E230" s="4"/>
      <c r="F230" s="12">
        <f>IF(D$12=0,0,D230/D$12)</f>
        <v>5.0383975560001536E-2</v>
      </c>
      <c r="G230" s="4"/>
      <c r="H230" s="4">
        <v>158673.97</v>
      </c>
      <c r="I230" s="4"/>
      <c r="J230" s="12">
        <f>IF(H$12=0,0,H230/H$12)</f>
        <v>0.2507524082856939</v>
      </c>
      <c r="K230" s="4"/>
      <c r="L230" s="4">
        <f>+D230-H230</f>
        <v>-120416.78</v>
      </c>
      <c r="M230" s="4"/>
      <c r="N230" s="12">
        <f>IF(H230=0,0,L230/H230)</f>
        <v>-0.75889435425356788</v>
      </c>
      <c r="O230" s="10"/>
      <c r="P230" s="4">
        <v>362821.66</v>
      </c>
      <c r="Q230" s="4"/>
      <c r="R230" s="12">
        <f>IF(P$12=0,0,P230/P$12)</f>
        <v>0.12377562621261017</v>
      </c>
      <c r="S230" s="4"/>
      <c r="T230" s="4">
        <v>584884.44999999995</v>
      </c>
      <c r="U230" s="4"/>
      <c r="V230" s="12">
        <f>IF(T$12=0,0,T230/T$12)</f>
        <v>0.18525498890790712</v>
      </c>
      <c r="W230" s="4"/>
      <c r="X230" s="4">
        <f>+P230-T230</f>
        <v>-222062.78999999998</v>
      </c>
      <c r="Y230" s="4"/>
      <c r="Z230" s="12">
        <f>IF(T230=0,0,X230/T230)</f>
        <v>-0.37966950566047702</v>
      </c>
    </row>
    <row r="231" spans="1:26" x14ac:dyDescent="0.25">
      <c r="A231" s="9"/>
      <c r="B231" s="10"/>
      <c r="C231" s="10"/>
      <c r="D231" s="3"/>
      <c r="E231" s="3"/>
      <c r="F231" s="8"/>
      <c r="G231" s="3"/>
      <c r="H231" s="3"/>
      <c r="I231" s="3"/>
      <c r="J231" s="8"/>
      <c r="K231" s="3"/>
      <c r="L231" s="3"/>
      <c r="M231" s="3"/>
      <c r="N231" s="8"/>
      <c r="O231" s="10"/>
      <c r="P231" s="3"/>
      <c r="Q231" s="3"/>
      <c r="R231" s="8"/>
      <c r="S231" s="3"/>
      <c r="T231" s="3"/>
      <c r="U231" s="3"/>
      <c r="V231" s="8"/>
      <c r="W231" s="3"/>
      <c r="X231" s="3"/>
      <c r="Y231" s="3"/>
      <c r="Z231" s="8"/>
    </row>
    <row r="232" spans="1:26" s="23" customFormat="1" ht="15.75" thickBot="1" x14ac:dyDescent="0.3">
      <c r="A232" s="10"/>
      <c r="B232" s="25" t="s">
        <v>125</v>
      </c>
      <c r="C232" s="25"/>
      <c r="D232" s="33">
        <f>+D228-D230</f>
        <v>93660.449999999983</v>
      </c>
      <c r="E232" s="13"/>
      <c r="F232" s="35">
        <f>IF(D$12=0,0,D232/D$12)</f>
        <v>0.12334899201271042</v>
      </c>
      <c r="G232" s="13"/>
      <c r="H232" s="33">
        <f>+H228-H230</f>
        <v>-124334.89999999976</v>
      </c>
      <c r="I232" s="13"/>
      <c r="J232" s="35">
        <f>IF(H$12=0,0,H232/H$12)</f>
        <v>-0.19648639035728963</v>
      </c>
      <c r="K232" s="16"/>
      <c r="L232" s="33">
        <f>D232-H232</f>
        <v>217995.34999999974</v>
      </c>
      <c r="M232" s="16"/>
      <c r="N232" s="35">
        <f>IF(H232=0,0,L232/H232)</f>
        <v>-1.7532917145548046</v>
      </c>
      <c r="O232" s="26"/>
      <c r="P232" s="33">
        <f>+P228-P230</f>
        <v>-100795.03999999975</v>
      </c>
      <c r="Q232" s="13"/>
      <c r="R232" s="35">
        <f>IF(P$12=0,0,P232/P$12)</f>
        <v>-3.4385954783198613E-2</v>
      </c>
      <c r="S232" s="13"/>
      <c r="T232" s="33">
        <f>+T228-T230</f>
        <v>-226566.84000000055</v>
      </c>
      <c r="U232" s="13"/>
      <c r="V232" s="35">
        <f>IF(T$12=0,0,T232/T$12)</f>
        <v>-7.176227275507098E-2</v>
      </c>
      <c r="W232" s="16"/>
      <c r="X232" s="33">
        <f>P232-T232</f>
        <v>125771.8000000008</v>
      </c>
      <c r="Y232" s="16"/>
      <c r="Z232" s="35">
        <f>IF(T232=0,0,X232/T232)</f>
        <v>-0.55512006964479221</v>
      </c>
    </row>
    <row r="233" spans="1:26" ht="15.75" thickTop="1" x14ac:dyDescent="0.25">
      <c r="A233" s="9"/>
      <c r="B233" s="9"/>
      <c r="C233" s="9"/>
      <c r="D233" s="3"/>
      <c r="E233" s="3"/>
      <c r="F233" s="8"/>
      <c r="G233" s="3"/>
      <c r="H233" s="3"/>
      <c r="I233" s="3"/>
      <c r="J233" s="8"/>
      <c r="K233" s="3"/>
      <c r="L233" s="3"/>
      <c r="M233" s="3"/>
      <c r="N233" s="8"/>
      <c r="P233" s="3"/>
      <c r="Q233" s="3"/>
      <c r="R233" s="8"/>
      <c r="S233" s="3"/>
      <c r="T233" s="3"/>
      <c r="U233" s="3"/>
      <c r="V233" s="8"/>
      <c r="W233" s="3"/>
      <c r="X233" s="3"/>
      <c r="Y233" s="3"/>
      <c r="Z233" s="8"/>
    </row>
    <row r="234" spans="1:26" x14ac:dyDescent="0.25">
      <c r="A234" s="9"/>
      <c r="B234" s="9"/>
      <c r="C234" s="9"/>
      <c r="D234" s="3"/>
      <c r="E234" s="3"/>
      <c r="F234" s="8"/>
      <c r="G234" s="3"/>
      <c r="H234" s="3"/>
      <c r="I234" s="3"/>
      <c r="J234" s="8"/>
      <c r="K234" s="3"/>
      <c r="L234" s="3"/>
      <c r="M234" s="3"/>
      <c r="N234" s="8"/>
      <c r="P234" s="3"/>
      <c r="Q234" s="3"/>
      <c r="R234" s="8"/>
      <c r="S234" s="3"/>
      <c r="T234" s="3"/>
      <c r="U234" s="3"/>
      <c r="V234" s="8"/>
      <c r="W234" s="3"/>
      <c r="X234" s="3"/>
      <c r="Y234" s="3"/>
      <c r="Z234" s="8"/>
    </row>
    <row r="235" spans="1:26" s="23" customFormat="1" ht="15.75" thickBot="1" x14ac:dyDescent="0.3">
      <c r="A235" s="10"/>
      <c r="B235" s="25" t="s">
        <v>293</v>
      </c>
      <c r="C235" s="25"/>
      <c r="D235" s="31">
        <f>SUM(D232:D234)</f>
        <v>93660.449999999983</v>
      </c>
      <c r="E235" s="13"/>
      <c r="F235" s="32">
        <f>IF(D$12=0,0,D235/D$12)</f>
        <v>0.12334899201271042</v>
      </c>
      <c r="G235" s="13"/>
      <c r="H235" s="31">
        <f>SUM(H232:H234)</f>
        <v>-124334.89999999976</v>
      </c>
      <c r="I235" s="13"/>
      <c r="J235" s="32">
        <f>IF(H$12=0,0,H235/H$12)</f>
        <v>-0.19648639035728963</v>
      </c>
      <c r="K235" s="16"/>
      <c r="L235" s="31">
        <f>+D235-H235</f>
        <v>217995.34999999974</v>
      </c>
      <c r="M235" s="16"/>
      <c r="N235" s="32">
        <f>IF(H235=0,0,L235/H235)</f>
        <v>-1.7532917145548046</v>
      </c>
      <c r="O235" s="26"/>
      <c r="P235" s="31">
        <f>SUM(P232:P234)</f>
        <v>-100795.03999999975</v>
      </c>
      <c r="Q235" s="13"/>
      <c r="R235" s="32">
        <f>IF(P$12=0,0,P235/P$12)</f>
        <v>-3.4385954783198613E-2</v>
      </c>
      <c r="S235" s="13"/>
      <c r="T235" s="31">
        <f>SUM(T232:T234)</f>
        <v>-226566.84000000055</v>
      </c>
      <c r="U235" s="13"/>
      <c r="V235" s="32">
        <f>IF(T$12=0,0,T235/T$12)</f>
        <v>-7.176227275507098E-2</v>
      </c>
      <c r="W235" s="16"/>
      <c r="X235" s="31">
        <f>+P235-T235</f>
        <v>125771.8000000008</v>
      </c>
      <c r="Y235" s="16"/>
      <c r="Z235" s="32">
        <f>IF(T235=0,0,X235/T235)</f>
        <v>-0.55512006964479221</v>
      </c>
    </row>
    <row r="236" spans="1:26" ht="15.75" thickTop="1" x14ac:dyDescent="0.25">
      <c r="A236" s="9"/>
      <c r="C236" s="9"/>
      <c r="D236" s="18"/>
      <c r="E236" s="18"/>
      <c r="G236" s="18"/>
      <c r="H236" s="18"/>
      <c r="I236" s="18"/>
      <c r="J236" s="42"/>
      <c r="K236" s="18"/>
      <c r="L236" s="18"/>
      <c r="M236" s="18"/>
      <c r="P236" s="18"/>
      <c r="Q236" s="18"/>
      <c r="R236" s="42"/>
      <c r="S236" s="18"/>
      <c r="T236" s="18"/>
      <c r="U236" s="18"/>
      <c r="V236" s="42"/>
      <c r="W236" s="18"/>
      <c r="X236" s="18"/>
    </row>
    <row r="237" spans="1:26" x14ac:dyDescent="0.25">
      <c r="A237" s="9"/>
      <c r="B237" s="58">
        <v>44481.985625000001</v>
      </c>
      <c r="D237" s="18"/>
      <c r="E237" s="18"/>
      <c r="G237" s="18"/>
      <c r="H237" s="18"/>
      <c r="I237" s="18"/>
      <c r="J237" s="42"/>
      <c r="K237" s="18"/>
      <c r="L237" s="18"/>
      <c r="M237" s="18"/>
      <c r="P237" s="18"/>
      <c r="Q237" s="18"/>
      <c r="R237" s="42"/>
      <c r="S237" s="18"/>
      <c r="T237" s="18"/>
      <c r="U237" s="18"/>
      <c r="V237" s="42"/>
      <c r="W237" s="18"/>
      <c r="X237" s="18"/>
    </row>
    <row r="238" spans="1:26" x14ac:dyDescent="0.25">
      <c r="A238" s="9"/>
      <c r="B238" s="53" t="s">
        <v>56</v>
      </c>
      <c r="D238" s="18"/>
      <c r="E238" s="18"/>
      <c r="G238" s="18"/>
      <c r="H238" s="18"/>
      <c r="I238" s="18"/>
      <c r="J238" s="42"/>
      <c r="K238" s="18"/>
      <c r="L238" s="18"/>
      <c r="M238" s="18"/>
      <c r="P238" s="18"/>
      <c r="Q238" s="18"/>
      <c r="R238" s="42"/>
      <c r="S238" s="18"/>
      <c r="T238" s="18"/>
      <c r="U238" s="18"/>
      <c r="V238" s="42"/>
      <c r="W238" s="18"/>
      <c r="X238" s="18"/>
    </row>
    <row r="239" spans="1:26" x14ac:dyDescent="0.25">
      <c r="A239" s="9"/>
      <c r="B239" s="52"/>
      <c r="D239" s="18"/>
      <c r="E239" s="18"/>
      <c r="G239" s="18"/>
      <c r="H239" s="18"/>
      <c r="I239" s="18"/>
      <c r="J239" s="42"/>
      <c r="K239" s="18"/>
      <c r="L239" s="18"/>
      <c r="M239" s="18"/>
      <c r="P239" s="18"/>
      <c r="Q239" s="18"/>
      <c r="R239" s="42"/>
      <c r="S239" s="18"/>
      <c r="T239" s="18"/>
      <c r="U239" s="18"/>
      <c r="V239" s="42"/>
      <c r="W239" s="18"/>
      <c r="X239" s="18"/>
    </row>
    <row r="240" spans="1:26" x14ac:dyDescent="0.25">
      <c r="D240" s="18"/>
      <c r="E240" s="18"/>
      <c r="G240" s="18"/>
      <c r="H240" s="18"/>
      <c r="I240" s="18"/>
      <c r="J240" s="42"/>
      <c r="K240" s="18"/>
      <c r="L240" s="18"/>
      <c r="M240" s="18"/>
      <c r="P240" s="18"/>
      <c r="Q240" s="18"/>
      <c r="R240" s="42"/>
      <c r="S240" s="18"/>
      <c r="T240" s="18"/>
      <c r="U240" s="18"/>
      <c r="V240" s="42"/>
      <c r="W240" s="18"/>
      <c r="X240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","301", " - ", "Bookstore Operations")</f>
        <v>Department 301 - Bookstore Operations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128055.81000000001</v>
      </c>
      <c r="E18" s="20"/>
      <c r="F18" s="30">
        <f t="shared" ref="F18:F29" si="0">IF(D$12=0,0,D18/D$12)</f>
        <v>0</v>
      </c>
      <c r="G18" s="20"/>
      <c r="H18" s="20">
        <f>SUM(OSRRefH22x_0)</f>
        <v>109225.68000000001</v>
      </c>
      <c r="I18" s="20"/>
      <c r="J18" s="30">
        <f t="shared" ref="J18:J29" si="1">IF(H$12=0,0,H18/H$12)</f>
        <v>0</v>
      </c>
      <c r="K18" s="4"/>
      <c r="L18" s="20">
        <f t="shared" ref="L18:L29" si="2">+D18-H18</f>
        <v>18830.130000000005</v>
      </c>
      <c r="M18" s="4"/>
      <c r="N18" s="30">
        <f t="shared" ref="N18:N29" si="3">IF(H18=0,0,L18/H18)</f>
        <v>0.17239654630669274</v>
      </c>
      <c r="O18" s="10"/>
      <c r="P18" s="20">
        <f>SUM(OSRRefP22x_0)</f>
        <v>474384.22000000003</v>
      </c>
      <c r="Q18" s="20"/>
      <c r="R18" s="30">
        <f t="shared" ref="R18:R29" si="4">IF(P$12=0,0,P18/P$12)</f>
        <v>0</v>
      </c>
      <c r="S18" s="20"/>
      <c r="T18" s="20">
        <f>SUM(OSRRefT22x_0)</f>
        <v>416605.04</v>
      </c>
      <c r="U18" s="20"/>
      <c r="V18" s="30">
        <f t="shared" ref="V18:V29" si="5">IF(T$12=0,0,T18/T$12)</f>
        <v>0</v>
      </c>
      <c r="W18" s="4"/>
      <c r="X18" s="20">
        <f t="shared" ref="X18:X29" si="6">+P18-T18</f>
        <v>57779.180000000051</v>
      </c>
      <c r="Y18" s="4"/>
      <c r="Z18" s="30">
        <f t="shared" ref="Z18:Z29" si="7">IF(T18=0,0,X18/T18)</f>
        <v>0.13869054488635099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12772.51</v>
      </c>
      <c r="E19" s="1"/>
      <c r="F19" s="5">
        <f t="shared" si="0"/>
        <v>0</v>
      </c>
      <c r="G19" s="1"/>
      <c r="H19" s="1">
        <f>SUM(OSRRefH22_0x_0)</f>
        <v>7682.21</v>
      </c>
      <c r="I19" s="1"/>
      <c r="J19" s="5">
        <f t="shared" si="1"/>
        <v>0</v>
      </c>
      <c r="K19" s="1"/>
      <c r="L19" s="1">
        <f t="shared" si="2"/>
        <v>5090.3</v>
      </c>
      <c r="M19" s="1"/>
      <c r="N19" s="5">
        <f t="shared" si="3"/>
        <v>0.66260880658039811</v>
      </c>
      <c r="O19" s="14"/>
      <c r="P19" s="1">
        <f>SUM(OSRRefP22_0x_0)</f>
        <v>40884.21</v>
      </c>
      <c r="Q19" s="1"/>
      <c r="R19" s="5">
        <f t="shared" si="4"/>
        <v>0</v>
      </c>
      <c r="S19" s="1"/>
      <c r="T19" s="1">
        <f>SUM(OSRRefT22_0x_0)</f>
        <v>25769.170000000006</v>
      </c>
      <c r="U19" s="1"/>
      <c r="V19" s="5">
        <f t="shared" si="5"/>
        <v>0</v>
      </c>
      <c r="W19" s="1"/>
      <c r="X19" s="1">
        <f t="shared" si="6"/>
        <v>15115.039999999994</v>
      </c>
      <c r="Y19" s="1"/>
      <c r="Z19" s="5">
        <f t="shared" si="7"/>
        <v>0.58655517426444048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2271.34</v>
      </c>
      <c r="E20" s="2"/>
      <c r="F20" s="6">
        <f t="shared" si="0"/>
        <v>0</v>
      </c>
      <c r="G20" s="2"/>
      <c r="H20" s="7">
        <v>2054.27</v>
      </c>
      <c r="I20" s="2"/>
      <c r="J20" s="6">
        <f t="shared" si="1"/>
        <v>0</v>
      </c>
      <c r="K20" s="2"/>
      <c r="L20" s="7">
        <f t="shared" si="2"/>
        <v>217.07000000000016</v>
      </c>
      <c r="M20" s="2"/>
      <c r="N20" s="6">
        <f t="shared" si="3"/>
        <v>0.10566770677661659</v>
      </c>
      <c r="O20" s="11"/>
      <c r="P20" s="7">
        <v>9480.07</v>
      </c>
      <c r="Q20" s="2"/>
      <c r="R20" s="6">
        <f t="shared" si="4"/>
        <v>0</v>
      </c>
      <c r="S20" s="2"/>
      <c r="T20" s="7">
        <v>8316.1200000000008</v>
      </c>
      <c r="U20" s="2"/>
      <c r="V20" s="6">
        <f t="shared" si="5"/>
        <v>0</v>
      </c>
      <c r="W20" s="2"/>
      <c r="X20" s="7">
        <f t="shared" si="6"/>
        <v>1163.9499999999989</v>
      </c>
      <c r="Y20" s="2"/>
      <c r="Z20" s="6">
        <f t="shared" si="7"/>
        <v>0.13996310779546217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848.92</v>
      </c>
      <c r="E21" s="2"/>
      <c r="F21" s="6">
        <f t="shared" si="0"/>
        <v>0</v>
      </c>
      <c r="G21" s="2"/>
      <c r="H21" s="7">
        <v>859.27</v>
      </c>
      <c r="I21" s="2"/>
      <c r="J21" s="6">
        <f t="shared" si="1"/>
        <v>0</v>
      </c>
      <c r="K21" s="2"/>
      <c r="L21" s="7">
        <f t="shared" si="2"/>
        <v>-10.350000000000023</v>
      </c>
      <c r="M21" s="2"/>
      <c r="N21" s="6">
        <f t="shared" si="3"/>
        <v>-1.2045108056838972E-2</v>
      </c>
      <c r="O21" s="11"/>
      <c r="P21" s="7">
        <v>2308.36</v>
      </c>
      <c r="Q21" s="2"/>
      <c r="R21" s="6">
        <f t="shared" si="4"/>
        <v>0</v>
      </c>
      <c r="S21" s="2"/>
      <c r="T21" s="7">
        <v>2437.86</v>
      </c>
      <c r="U21" s="2"/>
      <c r="V21" s="6">
        <f t="shared" si="5"/>
        <v>0</v>
      </c>
      <c r="W21" s="2"/>
      <c r="X21" s="7">
        <f t="shared" si="6"/>
        <v>-129.5</v>
      </c>
      <c r="Y21" s="2"/>
      <c r="Z21" s="6">
        <f t="shared" si="7"/>
        <v>-5.3120359659701535E-2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4982.24</v>
      </c>
      <c r="E22" s="2"/>
      <c r="F22" s="6">
        <f t="shared" si="0"/>
        <v>0</v>
      </c>
      <c r="G22" s="2"/>
      <c r="H22" s="7">
        <v>1567.82</v>
      </c>
      <c r="I22" s="2"/>
      <c r="J22" s="6">
        <f t="shared" si="1"/>
        <v>0</v>
      </c>
      <c r="K22" s="2"/>
      <c r="L22" s="7">
        <f t="shared" si="2"/>
        <v>3414.42</v>
      </c>
      <c r="M22" s="2"/>
      <c r="N22" s="6">
        <f t="shared" si="3"/>
        <v>2.1778137796430714</v>
      </c>
      <c r="O22" s="11"/>
      <c r="P22" s="7">
        <v>15144.8</v>
      </c>
      <c r="Q22" s="2"/>
      <c r="R22" s="6">
        <f t="shared" si="4"/>
        <v>0</v>
      </c>
      <c r="S22" s="2"/>
      <c r="T22" s="7">
        <v>4947.54</v>
      </c>
      <c r="U22" s="2"/>
      <c r="V22" s="6">
        <f t="shared" si="5"/>
        <v>0</v>
      </c>
      <c r="W22" s="2"/>
      <c r="X22" s="7">
        <f t="shared" si="6"/>
        <v>10197.259999999998</v>
      </c>
      <c r="Y22" s="2"/>
      <c r="Z22" s="6">
        <f t="shared" si="7"/>
        <v>2.0610768179741847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150.62</v>
      </c>
      <c r="E23" s="2"/>
      <c r="F23" s="6">
        <f t="shared" si="0"/>
        <v>0</v>
      </c>
      <c r="G23" s="2"/>
      <c r="H23" s="7">
        <v>128.83000000000001</v>
      </c>
      <c r="I23" s="2"/>
      <c r="J23" s="6">
        <f t="shared" si="1"/>
        <v>0</v>
      </c>
      <c r="K23" s="2"/>
      <c r="L23" s="7">
        <f t="shared" si="2"/>
        <v>21.789999999999992</v>
      </c>
      <c r="M23" s="2"/>
      <c r="N23" s="6">
        <f t="shared" si="3"/>
        <v>0.16913762322440418</v>
      </c>
      <c r="O23" s="11"/>
      <c r="P23" s="7">
        <v>413.63</v>
      </c>
      <c r="Q23" s="2"/>
      <c r="R23" s="6">
        <f t="shared" si="4"/>
        <v>0</v>
      </c>
      <c r="S23" s="2"/>
      <c r="T23" s="7">
        <v>374.69</v>
      </c>
      <c r="U23" s="2"/>
      <c r="V23" s="6">
        <f t="shared" si="5"/>
        <v>0</v>
      </c>
      <c r="W23" s="2"/>
      <c r="X23" s="7">
        <f t="shared" si="6"/>
        <v>38.94</v>
      </c>
      <c r="Y23" s="2"/>
      <c r="Z23" s="6">
        <f t="shared" si="7"/>
        <v>0.10392591208732552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1518.86</v>
      </c>
      <c r="E24" s="2"/>
      <c r="F24" s="6">
        <f t="shared" si="0"/>
        <v>0</v>
      </c>
      <c r="G24" s="2"/>
      <c r="H24" s="7">
        <v>1171.6300000000001</v>
      </c>
      <c r="I24" s="2"/>
      <c r="J24" s="6">
        <f t="shared" si="1"/>
        <v>0</v>
      </c>
      <c r="K24" s="2"/>
      <c r="L24" s="7">
        <f t="shared" si="2"/>
        <v>347.22999999999979</v>
      </c>
      <c r="M24" s="2"/>
      <c r="N24" s="6">
        <f t="shared" si="3"/>
        <v>0.29636489335370358</v>
      </c>
      <c r="O24" s="11"/>
      <c r="P24" s="7">
        <v>4556.58</v>
      </c>
      <c r="Q24" s="2"/>
      <c r="R24" s="6">
        <f t="shared" si="4"/>
        <v>0</v>
      </c>
      <c r="S24" s="2"/>
      <c r="T24" s="7">
        <v>3702.6</v>
      </c>
      <c r="U24" s="2"/>
      <c r="V24" s="6">
        <f t="shared" si="5"/>
        <v>0</v>
      </c>
      <c r="W24" s="2"/>
      <c r="X24" s="7">
        <f t="shared" si="6"/>
        <v>853.98</v>
      </c>
      <c r="Y24" s="2"/>
      <c r="Z24" s="6">
        <f t="shared" si="7"/>
        <v>0.23064333171285045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401.9</v>
      </c>
      <c r="U25" s="2"/>
      <c r="V25" s="6">
        <f t="shared" si="5"/>
        <v>0</v>
      </c>
      <c r="W25" s="2"/>
      <c r="X25" s="7">
        <f t="shared" si="6"/>
        <v>-401.9</v>
      </c>
      <c r="Y25" s="2"/>
      <c r="Z25" s="6">
        <f t="shared" si="7"/>
        <v>-1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7">
        <v>233.16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233.16</v>
      </c>
      <c r="M26" s="2"/>
      <c r="N26" s="6">
        <f t="shared" si="3"/>
        <v>0</v>
      </c>
      <c r="O26" s="11"/>
      <c r="P26" s="7">
        <v>962.76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962.76</v>
      </c>
      <c r="Y26" s="2"/>
      <c r="Z26" s="6">
        <f t="shared" si="7"/>
        <v>0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7">
        <v>1147.9100000000001</v>
      </c>
      <c r="E27" s="2"/>
      <c r="F27" s="6">
        <f t="shared" si="0"/>
        <v>0</v>
      </c>
      <c r="G27" s="2"/>
      <c r="H27" s="7">
        <v>982.38</v>
      </c>
      <c r="I27" s="2"/>
      <c r="J27" s="6">
        <f t="shared" si="1"/>
        <v>0</v>
      </c>
      <c r="K27" s="2"/>
      <c r="L27" s="7">
        <f t="shared" si="2"/>
        <v>165.53000000000009</v>
      </c>
      <c r="M27" s="2"/>
      <c r="N27" s="6">
        <f t="shared" si="3"/>
        <v>0.1684989515258862</v>
      </c>
      <c r="O27" s="11"/>
      <c r="P27" s="7">
        <v>3683.43</v>
      </c>
      <c r="Q27" s="2"/>
      <c r="R27" s="6">
        <f t="shared" si="4"/>
        <v>0</v>
      </c>
      <c r="S27" s="2"/>
      <c r="T27" s="7">
        <v>3126.74</v>
      </c>
      <c r="U27" s="2"/>
      <c r="V27" s="6">
        <f t="shared" si="5"/>
        <v>0</v>
      </c>
      <c r="W27" s="2"/>
      <c r="X27" s="7">
        <f t="shared" si="6"/>
        <v>556.69000000000005</v>
      </c>
      <c r="Y27" s="2"/>
      <c r="Z27" s="6">
        <f t="shared" si="7"/>
        <v>0.17804166640014843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7">
        <v>1139.6300000000001</v>
      </c>
      <c r="E28" s="2"/>
      <c r="F28" s="6">
        <f t="shared" si="0"/>
        <v>0</v>
      </c>
      <c r="G28" s="2"/>
      <c r="H28" s="7">
        <v>616.29</v>
      </c>
      <c r="I28" s="2"/>
      <c r="J28" s="6">
        <f t="shared" si="1"/>
        <v>0</v>
      </c>
      <c r="K28" s="2"/>
      <c r="L28" s="7">
        <f t="shared" si="2"/>
        <v>523.34000000000015</v>
      </c>
      <c r="M28" s="2"/>
      <c r="N28" s="6">
        <f t="shared" si="3"/>
        <v>0.84917814665173896</v>
      </c>
      <c r="O28" s="11"/>
      <c r="P28" s="7">
        <v>3050.09</v>
      </c>
      <c r="Q28" s="2"/>
      <c r="R28" s="6">
        <f t="shared" si="4"/>
        <v>0</v>
      </c>
      <c r="S28" s="2"/>
      <c r="T28" s="7">
        <v>1990.91</v>
      </c>
      <c r="U28" s="2"/>
      <c r="V28" s="6">
        <f t="shared" si="5"/>
        <v>0</v>
      </c>
      <c r="W28" s="2"/>
      <c r="X28" s="7">
        <f t="shared" si="6"/>
        <v>1059.18</v>
      </c>
      <c r="Y28" s="2"/>
      <c r="Z28" s="6">
        <f t="shared" si="7"/>
        <v>0.53200797625206564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7">
        <v>479.83</v>
      </c>
      <c r="E29" s="2"/>
      <c r="F29" s="6">
        <f t="shared" si="0"/>
        <v>0</v>
      </c>
      <c r="G29" s="2"/>
      <c r="H29" s="7">
        <v>301.72000000000003</v>
      </c>
      <c r="I29" s="2"/>
      <c r="J29" s="6">
        <f t="shared" si="1"/>
        <v>0</v>
      </c>
      <c r="K29" s="2"/>
      <c r="L29" s="7">
        <f t="shared" si="2"/>
        <v>178.10999999999996</v>
      </c>
      <c r="M29" s="2"/>
      <c r="N29" s="6">
        <f t="shared" si="3"/>
        <v>0.59031552432719059</v>
      </c>
      <c r="O29" s="11"/>
      <c r="P29" s="7">
        <v>1284.49</v>
      </c>
      <c r="Q29" s="2"/>
      <c r="R29" s="6">
        <f t="shared" si="4"/>
        <v>0</v>
      </c>
      <c r="S29" s="2"/>
      <c r="T29" s="7">
        <v>470.81</v>
      </c>
      <c r="U29" s="2"/>
      <c r="V29" s="6">
        <f t="shared" si="5"/>
        <v>0</v>
      </c>
      <c r="W29" s="2"/>
      <c r="X29" s="7">
        <f t="shared" si="6"/>
        <v>813.68000000000006</v>
      </c>
      <c r="Y29" s="2"/>
      <c r="Z29" s="6">
        <f t="shared" si="7"/>
        <v>1.7282555595675539</v>
      </c>
    </row>
    <row r="30" spans="1:26" s="27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52654.07</v>
      </c>
      <c r="E30" s="1"/>
      <c r="F30" s="5">
        <f t="shared" ref="F30:F37" si="8">IF(D$12=0,0,D30/D$12)</f>
        <v>0</v>
      </c>
      <c r="G30" s="1"/>
      <c r="H30" s="1">
        <f>SUM(OSRRefH22_1x_0)</f>
        <v>38537.11</v>
      </c>
      <c r="I30" s="1"/>
      <c r="J30" s="5">
        <f t="shared" ref="J30:J37" si="9">IF(H$12=0,0,H30/H$12)</f>
        <v>0</v>
      </c>
      <c r="K30" s="1"/>
      <c r="L30" s="1">
        <f t="shared" ref="L30:L37" si="10">+D30-H30</f>
        <v>14116.96</v>
      </c>
      <c r="M30" s="1"/>
      <c r="N30" s="5">
        <f t="shared" ref="N30:N37" si="11">IF(H30=0,0,L30/H30)</f>
        <v>0.36632119014632908</v>
      </c>
      <c r="O30" s="14"/>
      <c r="P30" s="1">
        <f>SUM(OSRRefP22_1x_0)</f>
        <v>172132.59999999998</v>
      </c>
      <c r="Q30" s="1"/>
      <c r="R30" s="5">
        <f t="shared" ref="R30:R37" si="12">IF(P$12=0,0,P30/P$12)</f>
        <v>0</v>
      </c>
      <c r="S30" s="1"/>
      <c r="T30" s="1">
        <f>SUM(OSRRefT22_1x_0)</f>
        <v>147612.13</v>
      </c>
      <c r="U30" s="1"/>
      <c r="V30" s="5">
        <f t="shared" ref="V30:V37" si="13">IF(T$12=0,0,T30/T$12)</f>
        <v>0</v>
      </c>
      <c r="W30" s="1"/>
      <c r="X30" s="1">
        <f t="shared" ref="X30:X37" si="14">+P30-T30</f>
        <v>24520.469999999972</v>
      </c>
      <c r="Y30" s="1"/>
      <c r="Z30" s="5">
        <f t="shared" ref="Z30:Z37" si="15">IF(T30=0,0,X30/T30)</f>
        <v>0.16611419400289104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7">
        <v>4479.1000000000004</v>
      </c>
      <c r="E31" s="2"/>
      <c r="F31" s="6">
        <f t="shared" si="8"/>
        <v>0</v>
      </c>
      <c r="G31" s="2"/>
      <c r="H31" s="7">
        <v>4205.74</v>
      </c>
      <c r="I31" s="2"/>
      <c r="J31" s="6">
        <f t="shared" si="9"/>
        <v>0</v>
      </c>
      <c r="K31" s="2"/>
      <c r="L31" s="7">
        <f t="shared" si="10"/>
        <v>273.36000000000058</v>
      </c>
      <c r="M31" s="2"/>
      <c r="N31" s="6">
        <f t="shared" si="11"/>
        <v>6.4996885209261765E-2</v>
      </c>
      <c r="O31" s="11"/>
      <c r="P31" s="7">
        <v>14557.3</v>
      </c>
      <c r="Q31" s="2"/>
      <c r="R31" s="6">
        <f t="shared" si="12"/>
        <v>0</v>
      </c>
      <c r="S31" s="2"/>
      <c r="T31" s="7">
        <v>13248.65</v>
      </c>
      <c r="U31" s="2"/>
      <c r="V31" s="6">
        <f t="shared" si="13"/>
        <v>0</v>
      </c>
      <c r="W31" s="2"/>
      <c r="X31" s="7">
        <f t="shared" si="14"/>
        <v>1308.6499999999996</v>
      </c>
      <c r="Y31" s="2"/>
      <c r="Z31" s="6">
        <f t="shared" si="15"/>
        <v>9.877610171602387E-2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7">
        <v>10923.1</v>
      </c>
      <c r="E32" s="2"/>
      <c r="F32" s="6">
        <f t="shared" si="8"/>
        <v>0</v>
      </c>
      <c r="G32" s="2"/>
      <c r="H32" s="7">
        <v>8712.9599999999991</v>
      </c>
      <c r="I32" s="2"/>
      <c r="J32" s="6">
        <f t="shared" si="9"/>
        <v>0</v>
      </c>
      <c r="K32" s="2"/>
      <c r="L32" s="7">
        <f t="shared" si="10"/>
        <v>2210.1400000000012</v>
      </c>
      <c r="M32" s="2"/>
      <c r="N32" s="6">
        <f t="shared" si="11"/>
        <v>0.25366121272219788</v>
      </c>
      <c r="O32" s="11"/>
      <c r="P32" s="7">
        <v>32938.76</v>
      </c>
      <c r="Q32" s="2"/>
      <c r="R32" s="6">
        <f t="shared" si="12"/>
        <v>0</v>
      </c>
      <c r="S32" s="2"/>
      <c r="T32" s="7">
        <v>26789.18</v>
      </c>
      <c r="U32" s="2"/>
      <c r="V32" s="6">
        <f t="shared" si="13"/>
        <v>0</v>
      </c>
      <c r="W32" s="2"/>
      <c r="X32" s="7">
        <f t="shared" si="14"/>
        <v>6149.5800000000017</v>
      </c>
      <c r="Y32" s="2"/>
      <c r="Z32" s="6">
        <f t="shared" si="15"/>
        <v>0.22955461869306942</v>
      </c>
    </row>
    <row r="33" spans="1:26" s="24" customFormat="1" hidden="1" outlineLevel="2" x14ac:dyDescent="0.25">
      <c r="A33" s="28"/>
      <c r="B33" s="11" t="str">
        <f>CONCATENATE("          ", "6004", " - ", "STAFF HOURLY")</f>
        <v xml:space="preserve">          6004 - STAFF HOURLY</v>
      </c>
      <c r="C33" s="11"/>
      <c r="D33" s="7">
        <v>8141.26</v>
      </c>
      <c r="E33" s="2"/>
      <c r="F33" s="6">
        <f t="shared" si="8"/>
        <v>0</v>
      </c>
      <c r="G33" s="2"/>
      <c r="H33" s="7"/>
      <c r="I33" s="2"/>
      <c r="J33" s="6">
        <f t="shared" si="9"/>
        <v>0</v>
      </c>
      <c r="K33" s="2"/>
      <c r="L33" s="7">
        <f t="shared" si="10"/>
        <v>8141.26</v>
      </c>
      <c r="M33" s="2"/>
      <c r="N33" s="6">
        <f t="shared" si="11"/>
        <v>0</v>
      </c>
      <c r="O33" s="11"/>
      <c r="P33" s="7">
        <v>16634.509999999998</v>
      </c>
      <c r="Q33" s="2"/>
      <c r="R33" s="6">
        <f t="shared" si="12"/>
        <v>0</v>
      </c>
      <c r="S33" s="2"/>
      <c r="T33" s="7">
        <v>3465.6</v>
      </c>
      <c r="U33" s="2"/>
      <c r="V33" s="6">
        <f t="shared" si="13"/>
        <v>0</v>
      </c>
      <c r="W33" s="2"/>
      <c r="X33" s="7">
        <f t="shared" si="14"/>
        <v>13168.909999999998</v>
      </c>
      <c r="Y33" s="2"/>
      <c r="Z33" s="6">
        <f t="shared" si="15"/>
        <v>3.7998932363804241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7">
        <v>3945.26</v>
      </c>
      <c r="E34" s="2"/>
      <c r="F34" s="6">
        <f t="shared" si="8"/>
        <v>0</v>
      </c>
      <c r="G34" s="2"/>
      <c r="H34" s="7">
        <v>11632.72</v>
      </c>
      <c r="I34" s="2"/>
      <c r="J34" s="6">
        <f t="shared" si="9"/>
        <v>0</v>
      </c>
      <c r="K34" s="2"/>
      <c r="L34" s="7">
        <f t="shared" si="10"/>
        <v>-7687.4599999999991</v>
      </c>
      <c r="M34" s="2"/>
      <c r="N34" s="6">
        <f t="shared" si="11"/>
        <v>-0.660848021786822</v>
      </c>
      <c r="O34" s="11"/>
      <c r="P34" s="7">
        <v>9324.5499999999993</v>
      </c>
      <c r="Q34" s="2"/>
      <c r="R34" s="6">
        <f t="shared" si="12"/>
        <v>0</v>
      </c>
      <c r="S34" s="2"/>
      <c r="T34" s="7">
        <v>31614.52</v>
      </c>
      <c r="U34" s="2"/>
      <c r="V34" s="6">
        <f t="shared" si="13"/>
        <v>0</v>
      </c>
      <c r="W34" s="2"/>
      <c r="X34" s="7">
        <f t="shared" si="14"/>
        <v>-22289.97</v>
      </c>
      <c r="Y34" s="2"/>
      <c r="Z34" s="6">
        <f t="shared" si="15"/>
        <v>-0.70505482923669249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7">
        <v>2957.46</v>
      </c>
      <c r="E35" s="2"/>
      <c r="F35" s="6">
        <f t="shared" si="8"/>
        <v>0</v>
      </c>
      <c r="G35" s="2"/>
      <c r="H35" s="7">
        <v>1728.86</v>
      </c>
      <c r="I35" s="2"/>
      <c r="J35" s="6">
        <f t="shared" si="9"/>
        <v>0</v>
      </c>
      <c r="K35" s="2"/>
      <c r="L35" s="7">
        <f t="shared" si="10"/>
        <v>1228.6000000000001</v>
      </c>
      <c r="M35" s="2"/>
      <c r="N35" s="6">
        <f t="shared" si="11"/>
        <v>0.71064169452702952</v>
      </c>
      <c r="O35" s="11"/>
      <c r="P35" s="7">
        <v>9095.65</v>
      </c>
      <c r="Q35" s="2"/>
      <c r="R35" s="6">
        <f t="shared" si="12"/>
        <v>0</v>
      </c>
      <c r="S35" s="2"/>
      <c r="T35" s="7">
        <v>5202.12</v>
      </c>
      <c r="U35" s="2"/>
      <c r="V35" s="6">
        <f t="shared" si="13"/>
        <v>0</v>
      </c>
      <c r="W35" s="2"/>
      <c r="X35" s="7">
        <f t="shared" si="14"/>
        <v>3893.5299999999997</v>
      </c>
      <c r="Y35" s="2"/>
      <c r="Z35" s="6">
        <f t="shared" si="15"/>
        <v>0.7484506316655517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7">
        <v>20168.580000000002</v>
      </c>
      <c r="E36" s="2"/>
      <c r="F36" s="6">
        <f t="shared" si="8"/>
        <v>0</v>
      </c>
      <c r="G36" s="2"/>
      <c r="H36" s="7">
        <v>12256.83</v>
      </c>
      <c r="I36" s="2"/>
      <c r="J36" s="6">
        <f t="shared" si="9"/>
        <v>0</v>
      </c>
      <c r="K36" s="2"/>
      <c r="L36" s="7">
        <f t="shared" si="10"/>
        <v>7911.7500000000018</v>
      </c>
      <c r="M36" s="2"/>
      <c r="N36" s="6">
        <f t="shared" si="11"/>
        <v>0.64549724520940588</v>
      </c>
      <c r="O36" s="11"/>
      <c r="P36" s="7">
        <v>82154.62</v>
      </c>
      <c r="Q36" s="2"/>
      <c r="R36" s="6">
        <f t="shared" si="12"/>
        <v>0</v>
      </c>
      <c r="S36" s="2"/>
      <c r="T36" s="7">
        <v>67292.06</v>
      </c>
      <c r="U36" s="2"/>
      <c r="V36" s="6">
        <f t="shared" si="13"/>
        <v>0</v>
      </c>
      <c r="W36" s="2"/>
      <c r="X36" s="7">
        <f t="shared" si="14"/>
        <v>14862.559999999998</v>
      </c>
      <c r="Y36" s="2"/>
      <c r="Z36" s="6">
        <f t="shared" si="15"/>
        <v>0.22086647369689674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7">
        <v>2039.31</v>
      </c>
      <c r="E37" s="2"/>
      <c r="F37" s="6">
        <f t="shared" si="8"/>
        <v>0</v>
      </c>
      <c r="G37" s="2"/>
      <c r="H37" s="7"/>
      <c r="I37" s="2"/>
      <c r="J37" s="6">
        <f t="shared" si="9"/>
        <v>0</v>
      </c>
      <c r="K37" s="2"/>
      <c r="L37" s="7">
        <f t="shared" si="10"/>
        <v>2039.31</v>
      </c>
      <c r="M37" s="2"/>
      <c r="N37" s="6">
        <f t="shared" si="11"/>
        <v>0</v>
      </c>
      <c r="O37" s="11"/>
      <c r="P37" s="7">
        <v>7427.21</v>
      </c>
      <c r="Q37" s="2"/>
      <c r="R37" s="6">
        <f t="shared" si="12"/>
        <v>0</v>
      </c>
      <c r="S37" s="2"/>
      <c r="T37" s="7"/>
      <c r="U37" s="2"/>
      <c r="V37" s="6">
        <f t="shared" si="13"/>
        <v>0</v>
      </c>
      <c r="W37" s="2"/>
      <c r="X37" s="7">
        <f t="shared" si="14"/>
        <v>7427.21</v>
      </c>
      <c r="Y37" s="2"/>
      <c r="Z37" s="6">
        <f t="shared" si="15"/>
        <v>0</v>
      </c>
    </row>
    <row r="38" spans="1:26" s="27" customFormat="1" outlineLevel="1" collapsed="1" x14ac:dyDescent="0.25">
      <c r="A38" s="29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46" si="16">IF(D$12=0,0,D38/D$12)</f>
        <v>0</v>
      </c>
      <c r="G38" s="1"/>
      <c r="H38" s="1">
        <f>SUM(OSRRefH22_2x_0)</f>
        <v>0</v>
      </c>
      <c r="I38" s="1"/>
      <c r="J38" s="5">
        <f t="shared" ref="J38:J46" si="17">IF(H$12=0,0,H38/H$12)</f>
        <v>0</v>
      </c>
      <c r="K38" s="1"/>
      <c r="L38" s="1">
        <f t="shared" ref="L38:L46" si="18">+D38-H38</f>
        <v>0</v>
      </c>
      <c r="M38" s="1"/>
      <c r="N38" s="5">
        <f t="shared" ref="N38:N46" si="19">IF(H38=0,0,L38/H38)</f>
        <v>0</v>
      </c>
      <c r="O38" s="14"/>
      <c r="P38" s="1">
        <f>SUM(OSRRefP22_2x_0)</f>
        <v>160</v>
      </c>
      <c r="Q38" s="1"/>
      <c r="R38" s="5">
        <f t="shared" ref="R38:R46" si="20">IF(P$12=0,0,P38/P$12)</f>
        <v>0</v>
      </c>
      <c r="S38" s="1"/>
      <c r="T38" s="1">
        <f>SUM(OSRRefT22_2x_0)</f>
        <v>0</v>
      </c>
      <c r="U38" s="1"/>
      <c r="V38" s="5">
        <f t="shared" ref="V38:V46" si="21">IF(T$12=0,0,T38/T$12)</f>
        <v>0</v>
      </c>
      <c r="W38" s="1"/>
      <c r="X38" s="1">
        <f t="shared" ref="X38:X46" si="22">+P38-T38</f>
        <v>160</v>
      </c>
      <c r="Y38" s="1"/>
      <c r="Z38" s="5">
        <f t="shared" ref="Z38:Z46" si="23">IF(T38=0,0,X38/T38)</f>
        <v>0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16"/>
        <v>0</v>
      </c>
      <c r="G39" s="2"/>
      <c r="H39" s="7"/>
      <c r="I39" s="2"/>
      <c r="J39" s="6">
        <f t="shared" si="17"/>
        <v>0</v>
      </c>
      <c r="K39" s="2"/>
      <c r="L39" s="7">
        <f t="shared" si="18"/>
        <v>0</v>
      </c>
      <c r="M39" s="2"/>
      <c r="N39" s="6">
        <f t="shared" si="19"/>
        <v>0</v>
      </c>
      <c r="O39" s="11"/>
      <c r="P39" s="7">
        <v>160</v>
      </c>
      <c r="Q39" s="2"/>
      <c r="R39" s="6">
        <f t="shared" si="20"/>
        <v>0</v>
      </c>
      <c r="S39" s="2"/>
      <c r="T39" s="7"/>
      <c r="U39" s="2"/>
      <c r="V39" s="6">
        <f t="shared" si="21"/>
        <v>0</v>
      </c>
      <c r="W39" s="2"/>
      <c r="X39" s="7">
        <f t="shared" si="22"/>
        <v>160</v>
      </c>
      <c r="Y39" s="2"/>
      <c r="Z39" s="6">
        <f t="shared" si="23"/>
        <v>0</v>
      </c>
    </row>
    <row r="40" spans="1:26" s="27" customFormat="1" outlineLevel="1" collapsed="1" x14ac:dyDescent="0.25">
      <c r="A40" s="29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97.52</v>
      </c>
      <c r="E40" s="1"/>
      <c r="F40" s="5">
        <f t="shared" si="16"/>
        <v>0</v>
      </c>
      <c r="G40" s="1"/>
      <c r="H40" s="1">
        <f>SUM(OSRRefH22_3x_0)</f>
        <v>10.38</v>
      </c>
      <c r="I40" s="1"/>
      <c r="J40" s="5">
        <f t="shared" si="17"/>
        <v>0</v>
      </c>
      <c r="K40" s="1"/>
      <c r="L40" s="1">
        <f t="shared" si="18"/>
        <v>87.14</v>
      </c>
      <c r="M40" s="1"/>
      <c r="N40" s="5">
        <f t="shared" si="19"/>
        <v>8.3949903660886314</v>
      </c>
      <c r="O40" s="14"/>
      <c r="P40" s="1">
        <f>SUM(OSRRefP22_3x_0)</f>
        <v>250.54</v>
      </c>
      <c r="Q40" s="1"/>
      <c r="R40" s="5">
        <f t="shared" si="20"/>
        <v>0</v>
      </c>
      <c r="S40" s="1"/>
      <c r="T40" s="1">
        <f>SUM(OSRRefT22_3x_0)</f>
        <v>78.209999999999994</v>
      </c>
      <c r="U40" s="1"/>
      <c r="V40" s="5">
        <f t="shared" si="21"/>
        <v>0</v>
      </c>
      <c r="W40" s="1"/>
      <c r="X40" s="1">
        <f t="shared" si="22"/>
        <v>172.32999999999998</v>
      </c>
      <c r="Y40" s="1"/>
      <c r="Z40" s="5">
        <f t="shared" si="23"/>
        <v>2.2034266717811022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7">
        <v>97.52</v>
      </c>
      <c r="E41" s="2"/>
      <c r="F41" s="6">
        <f t="shared" si="16"/>
        <v>0</v>
      </c>
      <c r="G41" s="2"/>
      <c r="H41" s="7">
        <v>10.38</v>
      </c>
      <c r="I41" s="2"/>
      <c r="J41" s="6">
        <f t="shared" si="17"/>
        <v>0</v>
      </c>
      <c r="K41" s="2"/>
      <c r="L41" s="7">
        <f t="shared" si="18"/>
        <v>87.14</v>
      </c>
      <c r="M41" s="2"/>
      <c r="N41" s="6">
        <f t="shared" si="19"/>
        <v>8.3949903660886314</v>
      </c>
      <c r="O41" s="11"/>
      <c r="P41" s="7">
        <v>250.54</v>
      </c>
      <c r="Q41" s="2"/>
      <c r="R41" s="6">
        <f t="shared" si="20"/>
        <v>0</v>
      </c>
      <c r="S41" s="2"/>
      <c r="T41" s="7">
        <v>78.209999999999994</v>
      </c>
      <c r="U41" s="2"/>
      <c r="V41" s="6">
        <f t="shared" si="21"/>
        <v>0</v>
      </c>
      <c r="W41" s="2"/>
      <c r="X41" s="7">
        <f t="shared" si="22"/>
        <v>172.32999999999998</v>
      </c>
      <c r="Y41" s="2"/>
      <c r="Z41" s="6">
        <f t="shared" si="23"/>
        <v>2.2034266717811022</v>
      </c>
    </row>
    <row r="42" spans="1:26" s="27" customFormat="1" outlineLevel="1" collapsed="1" x14ac:dyDescent="0.25">
      <c r="A42" s="29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10228.540000000001</v>
      </c>
      <c r="E42" s="1"/>
      <c r="F42" s="5">
        <f t="shared" si="16"/>
        <v>0</v>
      </c>
      <c r="G42" s="1"/>
      <c r="H42" s="1">
        <f>SUM(OSRRefH22_4x_0)</f>
        <v>8743.77</v>
      </c>
      <c r="I42" s="1"/>
      <c r="J42" s="5">
        <f t="shared" si="17"/>
        <v>0</v>
      </c>
      <c r="K42" s="1"/>
      <c r="L42" s="1">
        <f t="shared" si="18"/>
        <v>1484.7700000000004</v>
      </c>
      <c r="M42" s="1"/>
      <c r="N42" s="5">
        <f t="shared" si="19"/>
        <v>0.16980890393960504</v>
      </c>
      <c r="O42" s="14"/>
      <c r="P42" s="1">
        <f>SUM(OSRRefP22_4x_0)</f>
        <v>36086.71</v>
      </c>
      <c r="Q42" s="1"/>
      <c r="R42" s="5">
        <f t="shared" si="20"/>
        <v>0</v>
      </c>
      <c r="S42" s="1"/>
      <c r="T42" s="1">
        <f>SUM(OSRRefT22_4x_0)</f>
        <v>33181.599999999999</v>
      </c>
      <c r="U42" s="1"/>
      <c r="V42" s="5">
        <f t="shared" si="21"/>
        <v>0</v>
      </c>
      <c r="W42" s="1"/>
      <c r="X42" s="1">
        <f t="shared" si="22"/>
        <v>2905.1100000000006</v>
      </c>
      <c r="Y42" s="1"/>
      <c r="Z42" s="5">
        <f t="shared" si="23"/>
        <v>8.7551835957277543E-2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7">
        <v>10228.540000000001</v>
      </c>
      <c r="E43" s="2"/>
      <c r="F43" s="6">
        <f t="shared" si="16"/>
        <v>0</v>
      </c>
      <c r="G43" s="2"/>
      <c r="H43" s="7">
        <v>8743.77</v>
      </c>
      <c r="I43" s="2"/>
      <c r="J43" s="6">
        <f t="shared" si="17"/>
        <v>0</v>
      </c>
      <c r="K43" s="2"/>
      <c r="L43" s="7">
        <f t="shared" si="18"/>
        <v>1484.7700000000004</v>
      </c>
      <c r="M43" s="2"/>
      <c r="N43" s="6">
        <f t="shared" si="19"/>
        <v>0.16980890393960504</v>
      </c>
      <c r="O43" s="11"/>
      <c r="P43" s="7">
        <v>36086.71</v>
      </c>
      <c r="Q43" s="2"/>
      <c r="R43" s="6">
        <f t="shared" si="20"/>
        <v>0</v>
      </c>
      <c r="S43" s="2"/>
      <c r="T43" s="7">
        <v>33181.599999999999</v>
      </c>
      <c r="U43" s="2"/>
      <c r="V43" s="6">
        <f t="shared" si="21"/>
        <v>0</v>
      </c>
      <c r="W43" s="2"/>
      <c r="X43" s="7">
        <f t="shared" si="22"/>
        <v>2905.1100000000006</v>
      </c>
      <c r="Y43" s="2"/>
      <c r="Z43" s="6">
        <f t="shared" si="23"/>
        <v>8.7551835957277543E-2</v>
      </c>
    </row>
    <row r="44" spans="1:26" s="27" customFormat="1" outlineLevel="1" collapsed="1" x14ac:dyDescent="0.25">
      <c r="A44" s="29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30550.800000000003</v>
      </c>
      <c r="E44" s="1"/>
      <c r="F44" s="5">
        <f t="shared" si="16"/>
        <v>0</v>
      </c>
      <c r="G44" s="1"/>
      <c r="H44" s="1">
        <f>SUM(OSRRefH22_5x_0)</f>
        <v>30896.959999999999</v>
      </c>
      <c r="I44" s="1"/>
      <c r="J44" s="5">
        <f t="shared" si="17"/>
        <v>0</v>
      </c>
      <c r="K44" s="1"/>
      <c r="L44" s="1">
        <f t="shared" si="18"/>
        <v>-346.15999999999622</v>
      </c>
      <c r="M44" s="1"/>
      <c r="N44" s="5">
        <f t="shared" si="19"/>
        <v>-1.1203691236937104E-2</v>
      </c>
      <c r="O44" s="14"/>
      <c r="P44" s="1">
        <f>SUM(OSRRefP22_5x_0)</f>
        <v>91652.4</v>
      </c>
      <c r="Q44" s="1"/>
      <c r="R44" s="5">
        <f t="shared" si="20"/>
        <v>0</v>
      </c>
      <c r="S44" s="1"/>
      <c r="T44" s="1">
        <f>SUM(OSRRefT22_5x_0)</f>
        <v>91993.39</v>
      </c>
      <c r="U44" s="1"/>
      <c r="V44" s="5">
        <f t="shared" si="21"/>
        <v>0</v>
      </c>
      <c r="W44" s="1"/>
      <c r="X44" s="1">
        <f t="shared" si="22"/>
        <v>-340.99000000000524</v>
      </c>
      <c r="Y44" s="1"/>
      <c r="Z44" s="5">
        <f t="shared" si="23"/>
        <v>-3.7066793603323591E-3</v>
      </c>
    </row>
    <row r="45" spans="1:26" s="24" customFormat="1" hidden="1" outlineLevel="2" x14ac:dyDescent="0.25">
      <c r="A45" s="28"/>
      <c r="B45" s="11" t="str">
        <f>CONCATENATE("          ", "6321", " - ", "BUILDING DEPRECIATION")</f>
        <v xml:space="preserve">          6321 - BUILDING DEPRECIATION</v>
      </c>
      <c r="C45" s="11"/>
      <c r="D45" s="7">
        <v>16396.52</v>
      </c>
      <c r="E45" s="2"/>
      <c r="F45" s="6">
        <f t="shared" si="16"/>
        <v>0</v>
      </c>
      <c r="G45" s="2"/>
      <c r="H45" s="7">
        <v>16396.52</v>
      </c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>
        <v>49189.56</v>
      </c>
      <c r="Q45" s="2"/>
      <c r="R45" s="6">
        <f t="shared" si="20"/>
        <v>0</v>
      </c>
      <c r="S45" s="2"/>
      <c r="T45" s="7">
        <v>49189.56</v>
      </c>
      <c r="U45" s="2"/>
      <c r="V45" s="6">
        <f t="shared" si="21"/>
        <v>0</v>
      </c>
      <c r="W45" s="2"/>
      <c r="X45" s="7">
        <f t="shared" si="22"/>
        <v>0</v>
      </c>
      <c r="Y45" s="2"/>
      <c r="Z45" s="6">
        <f t="shared" si="23"/>
        <v>0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14154.28</v>
      </c>
      <c r="E46" s="2"/>
      <c r="F46" s="6">
        <f t="shared" si="16"/>
        <v>0</v>
      </c>
      <c r="G46" s="2"/>
      <c r="H46" s="7">
        <v>14500.44</v>
      </c>
      <c r="I46" s="2"/>
      <c r="J46" s="6">
        <f t="shared" si="17"/>
        <v>0</v>
      </c>
      <c r="K46" s="2"/>
      <c r="L46" s="7">
        <f t="shared" si="18"/>
        <v>-346.15999999999985</v>
      </c>
      <c r="M46" s="2"/>
      <c r="N46" s="6">
        <f t="shared" si="19"/>
        <v>-2.3872379045049658E-2</v>
      </c>
      <c r="O46" s="11"/>
      <c r="P46" s="7">
        <v>42462.84</v>
      </c>
      <c r="Q46" s="2"/>
      <c r="R46" s="6">
        <f t="shared" si="20"/>
        <v>0</v>
      </c>
      <c r="S46" s="2"/>
      <c r="T46" s="7">
        <v>42803.83</v>
      </c>
      <c r="U46" s="2"/>
      <c r="V46" s="6">
        <f t="shared" si="21"/>
        <v>0</v>
      </c>
      <c r="W46" s="2"/>
      <c r="X46" s="7">
        <f t="shared" si="22"/>
        <v>-340.99000000000524</v>
      </c>
      <c r="Y46" s="2"/>
      <c r="Z46" s="6">
        <f t="shared" si="23"/>
        <v>-7.9663431987278994E-3</v>
      </c>
    </row>
    <row r="47" spans="1:26" s="27" customFormat="1" outlineLevel="1" collapsed="1" x14ac:dyDescent="0.25">
      <c r="A47" s="29"/>
      <c r="B47" s="14" t="str">
        <f>CONCATENATE("     ","Discounts and Markdowns                           ")</f>
        <v xml:space="preserve">     Discounts and Markdowns                           </v>
      </c>
      <c r="C47" s="14"/>
      <c r="D47" s="1">
        <f>SUM(OSRRefD22_6x_0)</f>
        <v>0</v>
      </c>
      <c r="E47" s="1"/>
      <c r="F47" s="5">
        <f t="shared" ref="F47:F65" si="24">IF(D$12=0,0,D47/D$12)</f>
        <v>0</v>
      </c>
      <c r="G47" s="1"/>
      <c r="H47" s="1">
        <f>SUM(OSRRefH22_6x_0)</f>
        <v>0</v>
      </c>
      <c r="I47" s="1"/>
      <c r="J47" s="5">
        <f t="shared" ref="J47:J65" si="25">IF(H$12=0,0,H47/H$12)</f>
        <v>0</v>
      </c>
      <c r="K47" s="1"/>
      <c r="L47" s="1">
        <f t="shared" ref="L47:L65" si="26">+D47-H47</f>
        <v>0</v>
      </c>
      <c r="M47" s="1"/>
      <c r="N47" s="5">
        <f t="shared" ref="N47:N65" si="27">IF(H47=0,0,L47/H47)</f>
        <v>0</v>
      </c>
      <c r="O47" s="14"/>
      <c r="P47" s="1">
        <f>SUM(OSRRefP22_6x_0)</f>
        <v>-22.49</v>
      </c>
      <c r="Q47" s="1"/>
      <c r="R47" s="5">
        <f t="shared" ref="R47:R65" si="28">IF(P$12=0,0,P47/P$12)</f>
        <v>0</v>
      </c>
      <c r="S47" s="1"/>
      <c r="T47" s="1">
        <f>SUM(OSRRefT22_6x_0)</f>
        <v>0</v>
      </c>
      <c r="U47" s="1"/>
      <c r="V47" s="5">
        <f t="shared" ref="V47:V65" si="29">IF(T$12=0,0,T47/T$12)</f>
        <v>0</v>
      </c>
      <c r="W47" s="1"/>
      <c r="X47" s="1">
        <f t="shared" ref="X47:X65" si="30">+P47-T47</f>
        <v>-22.49</v>
      </c>
      <c r="Y47" s="1"/>
      <c r="Z47" s="5">
        <f t="shared" ref="Z47:Z65" si="31">IF(T47=0,0,X47/T47)</f>
        <v>0</v>
      </c>
    </row>
    <row r="48" spans="1:26" s="24" customFormat="1" hidden="1" outlineLevel="2" x14ac:dyDescent="0.25">
      <c r="A48" s="28"/>
      <c r="B48" s="11" t="str">
        <f>CONCATENATE("          ", "9175", " - ", "EARNED DISCOUNTS")</f>
        <v xml:space="preserve">          9175 - EARNED DISCOUNTS</v>
      </c>
      <c r="C48" s="11"/>
      <c r="D48" s="7"/>
      <c r="E48" s="2"/>
      <c r="F48" s="6">
        <f t="shared" si="24"/>
        <v>0</v>
      </c>
      <c r="G48" s="2"/>
      <c r="H48" s="7"/>
      <c r="I48" s="2"/>
      <c r="J48" s="6">
        <f t="shared" si="25"/>
        <v>0</v>
      </c>
      <c r="K48" s="2"/>
      <c r="L48" s="7">
        <f t="shared" si="26"/>
        <v>0</v>
      </c>
      <c r="M48" s="2"/>
      <c r="N48" s="6">
        <f t="shared" si="27"/>
        <v>0</v>
      </c>
      <c r="O48" s="11"/>
      <c r="P48" s="7">
        <v>-22.49</v>
      </c>
      <c r="Q48" s="2"/>
      <c r="R48" s="6">
        <f t="shared" si="28"/>
        <v>0</v>
      </c>
      <c r="S48" s="2"/>
      <c r="T48" s="7"/>
      <c r="U48" s="2"/>
      <c r="V48" s="6">
        <f t="shared" si="29"/>
        <v>0</v>
      </c>
      <c r="W48" s="2"/>
      <c r="X48" s="7">
        <f t="shared" si="30"/>
        <v>-22.49</v>
      </c>
      <c r="Y48" s="2"/>
      <c r="Z48" s="6">
        <f t="shared" si="31"/>
        <v>0</v>
      </c>
    </row>
    <row r="49" spans="1:26" s="27" customFormat="1" outlineLevel="1" collapsed="1" x14ac:dyDescent="0.25">
      <c r="A49" s="29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SUM(OSRRefD22_7x_0)</f>
        <v>447.27</v>
      </c>
      <c r="E49" s="1"/>
      <c r="F49" s="5">
        <f t="shared" si="24"/>
        <v>0</v>
      </c>
      <c r="G49" s="1"/>
      <c r="H49" s="1">
        <f>SUM(OSRRefH22_7x_0)</f>
        <v>0</v>
      </c>
      <c r="I49" s="1"/>
      <c r="J49" s="5">
        <f t="shared" si="25"/>
        <v>0</v>
      </c>
      <c r="K49" s="1"/>
      <c r="L49" s="1">
        <f t="shared" si="26"/>
        <v>447.27</v>
      </c>
      <c r="M49" s="1"/>
      <c r="N49" s="5">
        <f t="shared" si="27"/>
        <v>0</v>
      </c>
      <c r="O49" s="14"/>
      <c r="P49" s="1">
        <f>SUM(OSRRefP22_7x_0)</f>
        <v>1168.19</v>
      </c>
      <c r="Q49" s="1"/>
      <c r="R49" s="5">
        <f t="shared" si="28"/>
        <v>0</v>
      </c>
      <c r="S49" s="1"/>
      <c r="T49" s="1">
        <f>SUM(OSRRefT22_7x_0)</f>
        <v>0</v>
      </c>
      <c r="U49" s="1"/>
      <c r="V49" s="5">
        <f t="shared" si="29"/>
        <v>0</v>
      </c>
      <c r="W49" s="1"/>
      <c r="X49" s="1">
        <f t="shared" si="30"/>
        <v>1168.19</v>
      </c>
      <c r="Y49" s="1"/>
      <c r="Z49" s="5">
        <f t="shared" si="31"/>
        <v>0</v>
      </c>
    </row>
    <row r="50" spans="1:26" s="24" customFormat="1" hidden="1" outlineLevel="2" x14ac:dyDescent="0.25">
      <c r="A50" s="28"/>
      <c r="B50" s="11" t="str">
        <f>CONCATENATE("          ", "6277", " - ", "EMPLOYEE APPRECIATION")</f>
        <v xml:space="preserve">          6277 - EMPLOYEE APPRECIATION</v>
      </c>
      <c r="C50" s="11"/>
      <c r="D50" s="7">
        <v>447.27</v>
      </c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447.27</v>
      </c>
      <c r="M50" s="2"/>
      <c r="N50" s="6">
        <f t="shared" si="27"/>
        <v>0</v>
      </c>
      <c r="O50" s="11"/>
      <c r="P50" s="7">
        <v>1168.19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1168.19</v>
      </c>
      <c r="Y50" s="2"/>
      <c r="Z50" s="6">
        <f t="shared" si="31"/>
        <v>0</v>
      </c>
    </row>
    <row r="51" spans="1:26" s="27" customFormat="1" outlineLevel="1" collapsed="1" x14ac:dyDescent="0.25">
      <c r="A51" s="29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SUM(OSRRefD22_8x_0)</f>
        <v>91.26</v>
      </c>
      <c r="E51" s="1"/>
      <c r="F51" s="5">
        <f t="shared" si="24"/>
        <v>0</v>
      </c>
      <c r="G51" s="1"/>
      <c r="H51" s="1">
        <f>SUM(OSRRefH22_8x_0)</f>
        <v>415.15</v>
      </c>
      <c r="I51" s="1"/>
      <c r="J51" s="5">
        <f t="shared" si="25"/>
        <v>0</v>
      </c>
      <c r="K51" s="1"/>
      <c r="L51" s="1">
        <f t="shared" si="26"/>
        <v>-323.89</v>
      </c>
      <c r="M51" s="1"/>
      <c r="N51" s="5">
        <f t="shared" si="27"/>
        <v>-0.78017584005781049</v>
      </c>
      <c r="O51" s="14"/>
      <c r="P51" s="1">
        <f>SUM(OSRRefP22_8x_0)</f>
        <v>1189.3499999999999</v>
      </c>
      <c r="Q51" s="1"/>
      <c r="R51" s="5">
        <f t="shared" si="28"/>
        <v>0</v>
      </c>
      <c r="S51" s="1"/>
      <c r="T51" s="1">
        <f>SUM(OSRRefT22_8x_0)</f>
        <v>597.66999999999996</v>
      </c>
      <c r="U51" s="1"/>
      <c r="V51" s="5">
        <f t="shared" si="29"/>
        <v>0</v>
      </c>
      <c r="W51" s="1"/>
      <c r="X51" s="1">
        <f t="shared" si="30"/>
        <v>591.67999999999995</v>
      </c>
      <c r="Y51" s="1"/>
      <c r="Z51" s="5">
        <f t="shared" si="31"/>
        <v>0.98997774691719509</v>
      </c>
    </row>
    <row r="52" spans="1:26" s="24" customFormat="1" hidden="1" outlineLevel="2" x14ac:dyDescent="0.25">
      <c r="A52" s="28"/>
      <c r="B52" s="11" t="str">
        <f>CONCATENATE("          ", "6351", " - ", "EQUIPMENT RENTAL")</f>
        <v xml:space="preserve">          6351 - EQUIPMENT RENTAL</v>
      </c>
      <c r="C52" s="11"/>
      <c r="D52" s="7">
        <v>91.26</v>
      </c>
      <c r="E52" s="2"/>
      <c r="F52" s="6">
        <f t="shared" si="24"/>
        <v>0</v>
      </c>
      <c r="G52" s="2"/>
      <c r="H52" s="7">
        <v>415.15</v>
      </c>
      <c r="I52" s="2"/>
      <c r="J52" s="6">
        <f t="shared" si="25"/>
        <v>0</v>
      </c>
      <c r="K52" s="2"/>
      <c r="L52" s="7">
        <f t="shared" si="26"/>
        <v>-323.89</v>
      </c>
      <c r="M52" s="2"/>
      <c r="N52" s="6">
        <f t="shared" si="27"/>
        <v>-0.78017584005781049</v>
      </c>
      <c r="O52" s="11"/>
      <c r="P52" s="7">
        <v>1189.3499999999999</v>
      </c>
      <c r="Q52" s="2"/>
      <c r="R52" s="6">
        <f t="shared" si="28"/>
        <v>0</v>
      </c>
      <c r="S52" s="2"/>
      <c r="T52" s="7">
        <v>597.66999999999996</v>
      </c>
      <c r="U52" s="2"/>
      <c r="V52" s="6">
        <f t="shared" si="29"/>
        <v>0</v>
      </c>
      <c r="W52" s="2"/>
      <c r="X52" s="7">
        <f t="shared" si="30"/>
        <v>591.67999999999995</v>
      </c>
      <c r="Y52" s="2"/>
      <c r="Z52" s="6">
        <f t="shared" si="31"/>
        <v>0.98997774691719509</v>
      </c>
    </row>
    <row r="53" spans="1:26" s="27" customFormat="1" outlineLevel="1" collapsed="1" x14ac:dyDescent="0.25">
      <c r="A53" s="29"/>
      <c r="B53" s="14" t="str">
        <f>CONCATENATE("     ","Freight out/Postage                               ")</f>
        <v xml:space="preserve">     Freight out/Postage                               </v>
      </c>
      <c r="C53" s="14"/>
      <c r="D53" s="1">
        <f>SUM(OSRRefD22_9x_0)</f>
        <v>0.43</v>
      </c>
      <c r="E53" s="1"/>
      <c r="F53" s="5">
        <f t="shared" si="24"/>
        <v>0</v>
      </c>
      <c r="G53" s="1"/>
      <c r="H53" s="1">
        <f>SUM(OSRRefH22_9x_0)</f>
        <v>315.95</v>
      </c>
      <c r="I53" s="1"/>
      <c r="J53" s="5">
        <f t="shared" si="25"/>
        <v>0</v>
      </c>
      <c r="K53" s="1"/>
      <c r="L53" s="1">
        <f t="shared" si="26"/>
        <v>-315.52</v>
      </c>
      <c r="M53" s="1"/>
      <c r="N53" s="5">
        <f t="shared" si="27"/>
        <v>-0.99863902516220915</v>
      </c>
      <c r="O53" s="14"/>
      <c r="P53" s="1">
        <f>SUM(OSRRefP22_9x_0)</f>
        <v>932.33</v>
      </c>
      <c r="Q53" s="1"/>
      <c r="R53" s="5">
        <f t="shared" si="28"/>
        <v>0</v>
      </c>
      <c r="S53" s="1"/>
      <c r="T53" s="1">
        <f>SUM(OSRRefT22_9x_0)</f>
        <v>631.9</v>
      </c>
      <c r="U53" s="1"/>
      <c r="V53" s="5">
        <f t="shared" si="29"/>
        <v>0</v>
      </c>
      <c r="W53" s="1"/>
      <c r="X53" s="1">
        <f t="shared" si="30"/>
        <v>300.43000000000006</v>
      </c>
      <c r="Y53" s="1"/>
      <c r="Z53" s="5">
        <f t="shared" si="31"/>
        <v>0.47543915176451984</v>
      </c>
    </row>
    <row r="54" spans="1:26" s="24" customFormat="1" hidden="1" outlineLevel="2" x14ac:dyDescent="0.25">
      <c r="A54" s="28"/>
      <c r="B54" s="11" t="str">
        <f>CONCATENATE("          ", "6307", " - ", "POSTAGE")</f>
        <v xml:space="preserve">          6307 - POSTAGE</v>
      </c>
      <c r="C54" s="11"/>
      <c r="D54" s="7">
        <v>0.43</v>
      </c>
      <c r="E54" s="2"/>
      <c r="F54" s="6">
        <f t="shared" si="24"/>
        <v>0</v>
      </c>
      <c r="G54" s="2"/>
      <c r="H54" s="7">
        <v>315.95</v>
      </c>
      <c r="I54" s="2"/>
      <c r="J54" s="6">
        <f t="shared" si="25"/>
        <v>0</v>
      </c>
      <c r="K54" s="2"/>
      <c r="L54" s="7">
        <f t="shared" si="26"/>
        <v>-315.52</v>
      </c>
      <c r="M54" s="2"/>
      <c r="N54" s="6">
        <f t="shared" si="27"/>
        <v>-0.99863902516220915</v>
      </c>
      <c r="O54" s="11"/>
      <c r="P54" s="7">
        <v>932.33</v>
      </c>
      <c r="Q54" s="2"/>
      <c r="R54" s="6">
        <f t="shared" si="28"/>
        <v>0</v>
      </c>
      <c r="S54" s="2"/>
      <c r="T54" s="7">
        <v>631.9</v>
      </c>
      <c r="U54" s="2"/>
      <c r="V54" s="6">
        <f t="shared" si="29"/>
        <v>0</v>
      </c>
      <c r="W54" s="2"/>
      <c r="X54" s="7">
        <f t="shared" si="30"/>
        <v>300.43000000000006</v>
      </c>
      <c r="Y54" s="2"/>
      <c r="Z54" s="6">
        <f t="shared" si="31"/>
        <v>0.47543915176451984</v>
      </c>
    </row>
    <row r="55" spans="1:26" s="27" customFormat="1" outlineLevel="1" collapsed="1" x14ac:dyDescent="0.25">
      <c r="A55" s="29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SUM(OSRRefD22_10x_0)</f>
        <v>0</v>
      </c>
      <c r="E55" s="1"/>
      <c r="F55" s="5">
        <f t="shared" si="24"/>
        <v>0</v>
      </c>
      <c r="G55" s="1"/>
      <c r="H55" s="1">
        <f>SUM(OSRRefH22_10x_0)</f>
        <v>0</v>
      </c>
      <c r="I55" s="1"/>
      <c r="J55" s="5">
        <f t="shared" si="25"/>
        <v>0</v>
      </c>
      <c r="K55" s="1"/>
      <c r="L55" s="1">
        <f t="shared" si="26"/>
        <v>0</v>
      </c>
      <c r="M55" s="1"/>
      <c r="N55" s="5">
        <f t="shared" si="27"/>
        <v>0</v>
      </c>
      <c r="O55" s="14"/>
      <c r="P55" s="1">
        <f>SUM(OSRRefP22_10x_0)</f>
        <v>1547.25</v>
      </c>
      <c r="Q55" s="1"/>
      <c r="R55" s="5">
        <f t="shared" si="28"/>
        <v>0</v>
      </c>
      <c r="S55" s="1"/>
      <c r="T55" s="1">
        <f>SUM(OSRRefT22_10x_0)</f>
        <v>867.81</v>
      </c>
      <c r="U55" s="1"/>
      <c r="V55" s="5">
        <f t="shared" si="29"/>
        <v>0</v>
      </c>
      <c r="W55" s="1"/>
      <c r="X55" s="1">
        <f t="shared" si="30"/>
        <v>679.44</v>
      </c>
      <c r="Y55" s="1"/>
      <c r="Z55" s="5">
        <f t="shared" si="31"/>
        <v>0.78293635703667863</v>
      </c>
    </row>
    <row r="56" spans="1:26" s="24" customFormat="1" hidden="1" outlineLevel="2" x14ac:dyDescent="0.25">
      <c r="A56" s="28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0</v>
      </c>
      <c r="M56" s="2"/>
      <c r="N56" s="6">
        <f t="shared" si="27"/>
        <v>0</v>
      </c>
      <c r="O56" s="11"/>
      <c r="P56" s="7">
        <v>1547.25</v>
      </c>
      <c r="Q56" s="2"/>
      <c r="R56" s="6">
        <f t="shared" si="28"/>
        <v>0</v>
      </c>
      <c r="S56" s="2"/>
      <c r="T56" s="7">
        <v>867.81</v>
      </c>
      <c r="U56" s="2"/>
      <c r="V56" s="6">
        <f t="shared" si="29"/>
        <v>0</v>
      </c>
      <c r="W56" s="2"/>
      <c r="X56" s="7">
        <f t="shared" si="30"/>
        <v>679.44</v>
      </c>
      <c r="Y56" s="2"/>
      <c r="Z56" s="6">
        <f t="shared" si="31"/>
        <v>0.78293635703667863</v>
      </c>
    </row>
    <row r="57" spans="1:26" s="27" customFormat="1" outlineLevel="1" collapsed="1" x14ac:dyDescent="0.25">
      <c r="A57" s="29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SUM(OSRRefD22_11x_0)</f>
        <v>5275.49</v>
      </c>
      <c r="E57" s="1"/>
      <c r="F57" s="5">
        <f t="shared" si="24"/>
        <v>0</v>
      </c>
      <c r="G57" s="1"/>
      <c r="H57" s="1">
        <f>SUM(OSRRefH22_11x_0)</f>
        <v>3883.56</v>
      </c>
      <c r="I57" s="1"/>
      <c r="J57" s="5">
        <f t="shared" si="25"/>
        <v>0</v>
      </c>
      <c r="K57" s="1"/>
      <c r="L57" s="1">
        <f t="shared" si="26"/>
        <v>1391.9299999999998</v>
      </c>
      <c r="M57" s="1"/>
      <c r="N57" s="5">
        <f t="shared" si="27"/>
        <v>0.35841598945297609</v>
      </c>
      <c r="O57" s="14"/>
      <c r="P57" s="1">
        <f>SUM(OSRRefP22_11x_0)</f>
        <v>15826.47</v>
      </c>
      <c r="Q57" s="1"/>
      <c r="R57" s="5">
        <f t="shared" si="28"/>
        <v>0</v>
      </c>
      <c r="S57" s="1"/>
      <c r="T57" s="1">
        <f>SUM(OSRRefT22_11x_0)</f>
        <v>11650.68</v>
      </c>
      <c r="U57" s="1"/>
      <c r="V57" s="5">
        <f t="shared" si="29"/>
        <v>0</v>
      </c>
      <c r="W57" s="1"/>
      <c r="X57" s="1">
        <f t="shared" si="30"/>
        <v>4175.7899999999991</v>
      </c>
      <c r="Y57" s="1"/>
      <c r="Z57" s="5">
        <f t="shared" si="31"/>
        <v>0.35841598945297604</v>
      </c>
    </row>
    <row r="58" spans="1:26" s="24" customFormat="1" hidden="1" outlineLevel="2" x14ac:dyDescent="0.25">
      <c r="A58" s="28"/>
      <c r="B58" s="11" t="str">
        <f>CONCATENATE("          ", "6314", " - ", "LIABILITY INSURANCE")</f>
        <v xml:space="preserve">          6314 - LIABILITY INSURANCE</v>
      </c>
      <c r="C58" s="11"/>
      <c r="D58" s="7">
        <v>5275.49</v>
      </c>
      <c r="E58" s="2"/>
      <c r="F58" s="6">
        <f t="shared" si="24"/>
        <v>0</v>
      </c>
      <c r="G58" s="2"/>
      <c r="H58" s="7">
        <v>3883.56</v>
      </c>
      <c r="I58" s="2"/>
      <c r="J58" s="6">
        <f t="shared" si="25"/>
        <v>0</v>
      </c>
      <c r="K58" s="2"/>
      <c r="L58" s="7">
        <f t="shared" si="26"/>
        <v>1391.9299999999998</v>
      </c>
      <c r="M58" s="2"/>
      <c r="N58" s="6">
        <f t="shared" si="27"/>
        <v>0.35841598945297609</v>
      </c>
      <c r="O58" s="11"/>
      <c r="P58" s="7">
        <v>15826.47</v>
      </c>
      <c r="Q58" s="2"/>
      <c r="R58" s="6">
        <f t="shared" si="28"/>
        <v>0</v>
      </c>
      <c r="S58" s="2"/>
      <c r="T58" s="7">
        <v>11650.68</v>
      </c>
      <c r="U58" s="2"/>
      <c r="V58" s="6">
        <f t="shared" si="29"/>
        <v>0</v>
      </c>
      <c r="W58" s="2"/>
      <c r="X58" s="7">
        <f t="shared" si="30"/>
        <v>4175.7899999999991</v>
      </c>
      <c r="Y58" s="2"/>
      <c r="Z58" s="6">
        <f t="shared" si="31"/>
        <v>0.35841598945297604</v>
      </c>
    </row>
    <row r="59" spans="1:26" s="27" customFormat="1" outlineLevel="1" collapsed="1" x14ac:dyDescent="0.25">
      <c r="A59" s="29"/>
      <c r="B59" s="14" t="str">
        <f>CONCATENATE("     ","Rent                                              ")</f>
        <v xml:space="preserve">     Rent                                              </v>
      </c>
      <c r="C59" s="14"/>
      <c r="D59" s="1">
        <f>SUM(OSRRefD22_12x_0)</f>
        <v>-800</v>
      </c>
      <c r="E59" s="1"/>
      <c r="F59" s="5">
        <f t="shared" si="24"/>
        <v>0</v>
      </c>
      <c r="G59" s="1"/>
      <c r="H59" s="1">
        <f>SUM(OSRRefH22_12x_0)</f>
        <v>-800</v>
      </c>
      <c r="I59" s="1"/>
      <c r="J59" s="5">
        <f t="shared" si="25"/>
        <v>0</v>
      </c>
      <c r="K59" s="1"/>
      <c r="L59" s="1">
        <f t="shared" si="26"/>
        <v>0</v>
      </c>
      <c r="M59" s="1"/>
      <c r="N59" s="5">
        <f t="shared" si="27"/>
        <v>0</v>
      </c>
      <c r="O59" s="14"/>
      <c r="P59" s="1">
        <f>SUM(OSRRefP22_12x_0)</f>
        <v>-2400</v>
      </c>
      <c r="Q59" s="1"/>
      <c r="R59" s="5">
        <f t="shared" si="28"/>
        <v>0</v>
      </c>
      <c r="S59" s="1"/>
      <c r="T59" s="1">
        <f>SUM(OSRRefT22_12x_0)</f>
        <v>-2400</v>
      </c>
      <c r="U59" s="1"/>
      <c r="V59" s="5">
        <f t="shared" si="29"/>
        <v>0</v>
      </c>
      <c r="W59" s="1"/>
      <c r="X59" s="1">
        <f t="shared" si="30"/>
        <v>0</v>
      </c>
      <c r="Y59" s="1"/>
      <c r="Z59" s="5">
        <f t="shared" si="31"/>
        <v>0</v>
      </c>
    </row>
    <row r="60" spans="1:26" s="24" customFormat="1" hidden="1" outlineLevel="2" x14ac:dyDescent="0.25">
      <c r="A60" s="28"/>
      <c r="B60" s="11" t="str">
        <f>CONCATENATE("          ", "6273", " - ", "RENT")</f>
        <v xml:space="preserve">          6273 - RENT</v>
      </c>
      <c r="C60" s="11"/>
      <c r="D60" s="7">
        <v>-800</v>
      </c>
      <c r="E60" s="2"/>
      <c r="F60" s="6">
        <f t="shared" si="24"/>
        <v>0</v>
      </c>
      <c r="G60" s="2"/>
      <c r="H60" s="7">
        <v>-800</v>
      </c>
      <c r="I60" s="2"/>
      <c r="J60" s="6">
        <f t="shared" si="25"/>
        <v>0</v>
      </c>
      <c r="K60" s="2"/>
      <c r="L60" s="7">
        <f t="shared" si="26"/>
        <v>0</v>
      </c>
      <c r="M60" s="2"/>
      <c r="N60" s="6">
        <f t="shared" si="27"/>
        <v>0</v>
      </c>
      <c r="O60" s="11"/>
      <c r="P60" s="7">
        <v>-2400</v>
      </c>
      <c r="Q60" s="2"/>
      <c r="R60" s="6">
        <f t="shared" si="28"/>
        <v>0</v>
      </c>
      <c r="S60" s="2"/>
      <c r="T60" s="7">
        <v>-2400</v>
      </c>
      <c r="U60" s="2"/>
      <c r="V60" s="6">
        <f t="shared" si="29"/>
        <v>0</v>
      </c>
      <c r="W60" s="2"/>
      <c r="X60" s="7">
        <f t="shared" si="30"/>
        <v>0</v>
      </c>
      <c r="Y60" s="2"/>
      <c r="Z60" s="6">
        <f t="shared" si="31"/>
        <v>0</v>
      </c>
    </row>
    <row r="61" spans="1:26" s="27" customFormat="1" outlineLevel="1" collapsed="1" x14ac:dyDescent="0.25">
      <c r="A61" s="29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SUM(OSRRefD22_13x_0)</f>
        <v>3897.49</v>
      </c>
      <c r="E61" s="1"/>
      <c r="F61" s="5">
        <f t="shared" si="24"/>
        <v>0</v>
      </c>
      <c r="G61" s="1"/>
      <c r="H61" s="1">
        <f>SUM(OSRRefH22_13x_0)</f>
        <v>5917.67</v>
      </c>
      <c r="I61" s="1"/>
      <c r="J61" s="5">
        <f t="shared" si="25"/>
        <v>0</v>
      </c>
      <c r="K61" s="1"/>
      <c r="L61" s="1">
        <f t="shared" si="26"/>
        <v>-2020.1800000000003</v>
      </c>
      <c r="M61" s="1"/>
      <c r="N61" s="5">
        <f t="shared" si="27"/>
        <v>-0.34138098271786027</v>
      </c>
      <c r="O61" s="14"/>
      <c r="P61" s="1">
        <f>SUM(OSRRefP22_13x_0)</f>
        <v>68790.759999999995</v>
      </c>
      <c r="Q61" s="1"/>
      <c r="R61" s="5">
        <f t="shared" si="28"/>
        <v>0</v>
      </c>
      <c r="S61" s="1"/>
      <c r="T61" s="1">
        <f>SUM(OSRRefT22_13x_0)</f>
        <v>67265.88</v>
      </c>
      <c r="U61" s="1"/>
      <c r="V61" s="5">
        <f t="shared" si="29"/>
        <v>0</v>
      </c>
      <c r="W61" s="1"/>
      <c r="X61" s="1">
        <f t="shared" si="30"/>
        <v>1524.8799999999901</v>
      </c>
      <c r="Y61" s="1"/>
      <c r="Z61" s="5">
        <f t="shared" si="31"/>
        <v>2.2669442516770614E-2</v>
      </c>
    </row>
    <row r="62" spans="1:26" s="24" customFormat="1" hidden="1" outlineLevel="2" x14ac:dyDescent="0.25">
      <c r="A62" s="28"/>
      <c r="B62" s="11" t="str">
        <f>CONCATENATE("          ", "6371", " - ", "COMPUTER SOFTWARE MAINTENANCE")</f>
        <v xml:space="preserve">          6371 - COMPUTER SOFTWARE MAINTENANCE</v>
      </c>
      <c r="C62" s="11"/>
      <c r="D62" s="7"/>
      <c r="E62" s="2"/>
      <c r="F62" s="6">
        <f t="shared" si="24"/>
        <v>0</v>
      </c>
      <c r="G62" s="2"/>
      <c r="H62" s="7"/>
      <c r="I62" s="2"/>
      <c r="J62" s="6">
        <f t="shared" si="25"/>
        <v>0</v>
      </c>
      <c r="K62" s="2"/>
      <c r="L62" s="7">
        <f t="shared" si="26"/>
        <v>0</v>
      </c>
      <c r="M62" s="2"/>
      <c r="N62" s="6">
        <f t="shared" si="27"/>
        <v>0</v>
      </c>
      <c r="O62" s="11"/>
      <c r="P62" s="7">
        <v>56736</v>
      </c>
      <c r="Q62" s="2"/>
      <c r="R62" s="6">
        <f t="shared" si="28"/>
        <v>0</v>
      </c>
      <c r="S62" s="2"/>
      <c r="T62" s="7">
        <v>58428.78</v>
      </c>
      <c r="U62" s="2"/>
      <c r="V62" s="6">
        <f t="shared" si="29"/>
        <v>0</v>
      </c>
      <c r="W62" s="2"/>
      <c r="X62" s="7">
        <f t="shared" si="30"/>
        <v>-1692.7799999999988</v>
      </c>
      <c r="Y62" s="2"/>
      <c r="Z62" s="6">
        <f t="shared" si="31"/>
        <v>-2.8971681421381703E-2</v>
      </c>
    </row>
    <row r="63" spans="1:26" s="24" customFormat="1" hidden="1" outlineLevel="2" x14ac:dyDescent="0.25">
      <c r="A63" s="28"/>
      <c r="B63" s="11" t="str">
        <f>CONCATENATE("          ", "6372", " - ", "COMPUTER HARDWARE MAINTENANCE")</f>
        <v xml:space="preserve">          6372 - COMPUTER HARDWARE MAINTENANCE</v>
      </c>
      <c r="C63" s="11"/>
      <c r="D63" s="7"/>
      <c r="E63" s="2"/>
      <c r="F63" s="6">
        <f t="shared" si="24"/>
        <v>0</v>
      </c>
      <c r="G63" s="2"/>
      <c r="H63" s="7">
        <v>-9.09</v>
      </c>
      <c r="I63" s="2"/>
      <c r="J63" s="6">
        <f t="shared" si="25"/>
        <v>0</v>
      </c>
      <c r="K63" s="2"/>
      <c r="L63" s="7">
        <f t="shared" si="26"/>
        <v>9.09</v>
      </c>
      <c r="M63" s="2"/>
      <c r="N63" s="6">
        <f t="shared" si="27"/>
        <v>-1</v>
      </c>
      <c r="O63" s="11"/>
      <c r="P63" s="7"/>
      <c r="Q63" s="2"/>
      <c r="R63" s="6">
        <f t="shared" si="28"/>
        <v>0</v>
      </c>
      <c r="S63" s="2"/>
      <c r="T63" s="7">
        <v>-8.11</v>
      </c>
      <c r="U63" s="2"/>
      <c r="V63" s="6">
        <f t="shared" si="29"/>
        <v>0</v>
      </c>
      <c r="W63" s="2"/>
      <c r="X63" s="7">
        <f t="shared" si="30"/>
        <v>8.11</v>
      </c>
      <c r="Y63" s="2"/>
      <c r="Z63" s="6">
        <f t="shared" si="31"/>
        <v>-1</v>
      </c>
    </row>
    <row r="64" spans="1:26" s="24" customFormat="1" hidden="1" outlineLevel="2" x14ac:dyDescent="0.25">
      <c r="A64" s="28"/>
      <c r="B64" s="11" t="str">
        <f>CONCATENATE("          ", "6373", " - ", "MAINTENANCE CONTRACTS")</f>
        <v xml:space="preserve">          6373 - MAINTENANCE CONTRACTS</v>
      </c>
      <c r="C64" s="11"/>
      <c r="D64" s="7">
        <v>1074.8900000000001</v>
      </c>
      <c r="E64" s="2"/>
      <c r="F64" s="6">
        <f t="shared" si="24"/>
        <v>0</v>
      </c>
      <c r="G64" s="2"/>
      <c r="H64" s="7">
        <v>5006.12</v>
      </c>
      <c r="I64" s="2"/>
      <c r="J64" s="6">
        <f t="shared" si="25"/>
        <v>0</v>
      </c>
      <c r="K64" s="2"/>
      <c r="L64" s="7">
        <f t="shared" si="26"/>
        <v>-3931.2299999999996</v>
      </c>
      <c r="M64" s="2"/>
      <c r="N64" s="6">
        <f t="shared" si="27"/>
        <v>-0.78528481139085748</v>
      </c>
      <c r="O64" s="11"/>
      <c r="P64" s="7">
        <v>7040.13</v>
      </c>
      <c r="Q64" s="2"/>
      <c r="R64" s="6">
        <f t="shared" si="28"/>
        <v>0</v>
      </c>
      <c r="S64" s="2"/>
      <c r="T64" s="7">
        <v>6087.77</v>
      </c>
      <c r="U64" s="2"/>
      <c r="V64" s="6">
        <f t="shared" si="29"/>
        <v>0</v>
      </c>
      <c r="W64" s="2"/>
      <c r="X64" s="7">
        <f t="shared" si="30"/>
        <v>952.35999999999967</v>
      </c>
      <c r="Y64" s="2"/>
      <c r="Z64" s="6">
        <f t="shared" si="31"/>
        <v>0.15643823600431678</v>
      </c>
    </row>
    <row r="65" spans="1:26" s="24" customFormat="1" hidden="1" outlineLevel="2" x14ac:dyDescent="0.25">
      <c r="A65" s="28"/>
      <c r="B65" s="11" t="str">
        <f>CONCATENATE("          ", "6375", " - ", "OUTSIDE REPAIRS &amp; MAINTENANCE")</f>
        <v xml:space="preserve">          6375 - OUTSIDE REPAIRS &amp; MAINTENANCE</v>
      </c>
      <c r="C65" s="11"/>
      <c r="D65" s="7">
        <v>2822.6</v>
      </c>
      <c r="E65" s="2"/>
      <c r="F65" s="6">
        <f t="shared" si="24"/>
        <v>0</v>
      </c>
      <c r="G65" s="2"/>
      <c r="H65" s="7">
        <v>920.64</v>
      </c>
      <c r="I65" s="2"/>
      <c r="J65" s="6">
        <f t="shared" si="25"/>
        <v>0</v>
      </c>
      <c r="K65" s="2"/>
      <c r="L65" s="7">
        <f t="shared" si="26"/>
        <v>1901.96</v>
      </c>
      <c r="M65" s="2"/>
      <c r="N65" s="6">
        <f t="shared" si="27"/>
        <v>2.065910670837678</v>
      </c>
      <c r="O65" s="11"/>
      <c r="P65" s="7">
        <v>5014.63</v>
      </c>
      <c r="Q65" s="2"/>
      <c r="R65" s="6">
        <f t="shared" si="28"/>
        <v>0</v>
      </c>
      <c r="S65" s="2"/>
      <c r="T65" s="7">
        <v>2757.44</v>
      </c>
      <c r="U65" s="2"/>
      <c r="V65" s="6">
        <f t="shared" si="29"/>
        <v>0</v>
      </c>
      <c r="W65" s="2"/>
      <c r="X65" s="7">
        <f t="shared" si="30"/>
        <v>2257.19</v>
      </c>
      <c r="Y65" s="2"/>
      <c r="Z65" s="6">
        <f t="shared" si="31"/>
        <v>0.81858172797957529</v>
      </c>
    </row>
    <row r="66" spans="1:26" s="27" customFormat="1" outlineLevel="1" collapsed="1" x14ac:dyDescent="0.25">
      <c r="A66" s="29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SUM(OSRRefD22_14x_0)</f>
        <v>3780.54</v>
      </c>
      <c r="E66" s="1"/>
      <c r="F66" s="5">
        <f t="shared" ref="F66:F69" si="32">IF(D$12=0,0,D66/D$12)</f>
        <v>0</v>
      </c>
      <c r="G66" s="1"/>
      <c r="H66" s="1">
        <f>SUM(OSRRefH22_14x_0)</f>
        <v>4330.68</v>
      </c>
      <c r="I66" s="1"/>
      <c r="J66" s="5">
        <f t="shared" ref="J66:J69" si="33">IF(H$12=0,0,H66/H$12)</f>
        <v>0</v>
      </c>
      <c r="K66" s="1"/>
      <c r="L66" s="1">
        <f t="shared" ref="L66:L69" si="34">+D66-H66</f>
        <v>-550.14000000000033</v>
      </c>
      <c r="M66" s="1"/>
      <c r="N66" s="5">
        <f t="shared" ref="N66:N69" si="35">IF(H66=0,0,L66/H66)</f>
        <v>-0.1270331680013301</v>
      </c>
      <c r="O66" s="14"/>
      <c r="P66" s="1">
        <f>SUM(OSRRefP22_14x_0)</f>
        <v>18125.79</v>
      </c>
      <c r="Q66" s="1"/>
      <c r="R66" s="5">
        <f t="shared" ref="R66:R69" si="36">IF(P$12=0,0,P66/P$12)</f>
        <v>0</v>
      </c>
      <c r="S66" s="1"/>
      <c r="T66" s="1">
        <f>SUM(OSRRefT22_14x_0)</f>
        <v>8957.3000000000011</v>
      </c>
      <c r="U66" s="1"/>
      <c r="V66" s="5">
        <f t="shared" ref="V66:V69" si="37">IF(T$12=0,0,T66/T$12)</f>
        <v>0</v>
      </c>
      <c r="W66" s="1"/>
      <c r="X66" s="1">
        <f t="shared" ref="X66:X69" si="38">+P66-T66</f>
        <v>9168.49</v>
      </c>
      <c r="Y66" s="1"/>
      <c r="Z66" s="5">
        <f t="shared" ref="Z66:Z69" si="39">IF(T66=0,0,X66/T66)</f>
        <v>1.0235774173020886</v>
      </c>
    </row>
    <row r="67" spans="1:26" s="24" customFormat="1" hidden="1" outlineLevel="2" x14ac:dyDescent="0.25">
      <c r="A67" s="28"/>
      <c r="B67" s="11" t="str">
        <f>CONCATENATE("          ", "6282", " - ", "JANITORIAL/EXTERMINATOR EXPENS")</f>
        <v xml:space="preserve">          6282 - JANITORIAL/EXTERMINATOR EXPENS</v>
      </c>
      <c r="C67" s="11"/>
      <c r="D67" s="7">
        <v>413.27</v>
      </c>
      <c r="E67" s="2"/>
      <c r="F67" s="6">
        <f t="shared" si="32"/>
        <v>0</v>
      </c>
      <c r="G67" s="2"/>
      <c r="H67" s="7">
        <v>222.5</v>
      </c>
      <c r="I67" s="2"/>
      <c r="J67" s="6">
        <f t="shared" si="33"/>
        <v>0</v>
      </c>
      <c r="K67" s="2"/>
      <c r="L67" s="7">
        <f t="shared" si="34"/>
        <v>190.76999999999998</v>
      </c>
      <c r="M67" s="2"/>
      <c r="N67" s="6">
        <f t="shared" si="35"/>
        <v>0.85739325842696623</v>
      </c>
      <c r="O67" s="11"/>
      <c r="P67" s="7">
        <v>704.27</v>
      </c>
      <c r="Q67" s="2"/>
      <c r="R67" s="6">
        <f t="shared" si="36"/>
        <v>0</v>
      </c>
      <c r="S67" s="2"/>
      <c r="T67" s="7">
        <v>610.94000000000005</v>
      </c>
      <c r="U67" s="2"/>
      <c r="V67" s="6">
        <f t="shared" si="37"/>
        <v>0</v>
      </c>
      <c r="W67" s="2"/>
      <c r="X67" s="7">
        <f t="shared" si="38"/>
        <v>93.329999999999927</v>
      </c>
      <c r="Y67" s="2"/>
      <c r="Z67" s="6">
        <f t="shared" si="39"/>
        <v>0.15276459226765299</v>
      </c>
    </row>
    <row r="68" spans="1:26" s="24" customFormat="1" hidden="1" outlineLevel="2" x14ac:dyDescent="0.25">
      <c r="A68" s="28"/>
      <c r="B68" s="11" t="str">
        <f>CONCATENATE("          ", "6283", " - ", "PLANT SERVICE")</f>
        <v xml:space="preserve">          6283 - PLANT SERVICE</v>
      </c>
      <c r="C68" s="11"/>
      <c r="D68" s="7"/>
      <c r="E68" s="2"/>
      <c r="F68" s="6">
        <f t="shared" si="32"/>
        <v>0</v>
      </c>
      <c r="G68" s="2"/>
      <c r="H68" s="7"/>
      <c r="I68" s="2"/>
      <c r="J68" s="6">
        <f t="shared" si="33"/>
        <v>0</v>
      </c>
      <c r="K68" s="2"/>
      <c r="L68" s="7">
        <f t="shared" si="34"/>
        <v>0</v>
      </c>
      <c r="M68" s="2"/>
      <c r="N68" s="6">
        <f t="shared" si="35"/>
        <v>0</v>
      </c>
      <c r="O68" s="11"/>
      <c r="P68" s="7"/>
      <c r="Q68" s="2"/>
      <c r="R68" s="6">
        <f t="shared" si="36"/>
        <v>0</v>
      </c>
      <c r="S68" s="2"/>
      <c r="T68" s="7">
        <v>130</v>
      </c>
      <c r="U68" s="2"/>
      <c r="V68" s="6">
        <f t="shared" si="37"/>
        <v>0</v>
      </c>
      <c r="W68" s="2"/>
      <c r="X68" s="7">
        <f t="shared" si="38"/>
        <v>-130</v>
      </c>
      <c r="Y68" s="2"/>
      <c r="Z68" s="6">
        <f t="shared" si="39"/>
        <v>-1</v>
      </c>
    </row>
    <row r="69" spans="1:26" s="24" customFormat="1" hidden="1" outlineLevel="2" x14ac:dyDescent="0.25">
      <c r="A69" s="28"/>
      <c r="B69" s="11" t="str">
        <f>CONCATENATE("          ", "6285", " - ", "JANITORIAL SERVICES")</f>
        <v xml:space="preserve">          6285 - JANITORIAL SERVICES</v>
      </c>
      <c r="C69" s="11"/>
      <c r="D69" s="7">
        <v>3367.27</v>
      </c>
      <c r="E69" s="2"/>
      <c r="F69" s="6">
        <f t="shared" si="32"/>
        <v>0</v>
      </c>
      <c r="G69" s="2"/>
      <c r="H69" s="7">
        <v>4108.18</v>
      </c>
      <c r="I69" s="2"/>
      <c r="J69" s="6">
        <f t="shared" si="33"/>
        <v>0</v>
      </c>
      <c r="K69" s="2"/>
      <c r="L69" s="7">
        <f t="shared" si="34"/>
        <v>-740.91000000000031</v>
      </c>
      <c r="M69" s="2"/>
      <c r="N69" s="6">
        <f t="shared" si="35"/>
        <v>-0.18034993598138355</v>
      </c>
      <c r="O69" s="11"/>
      <c r="P69" s="7">
        <v>17421.52</v>
      </c>
      <c r="Q69" s="2"/>
      <c r="R69" s="6">
        <f t="shared" si="36"/>
        <v>0</v>
      </c>
      <c r="S69" s="2"/>
      <c r="T69" s="7">
        <v>8216.36</v>
      </c>
      <c r="U69" s="2"/>
      <c r="V69" s="6">
        <f t="shared" si="37"/>
        <v>0</v>
      </c>
      <c r="W69" s="2"/>
      <c r="X69" s="7">
        <f t="shared" si="38"/>
        <v>9205.16</v>
      </c>
      <c r="Y69" s="2"/>
      <c r="Z69" s="6">
        <f t="shared" si="39"/>
        <v>1.1203452623789609</v>
      </c>
    </row>
    <row r="70" spans="1:26" s="27" customFormat="1" outlineLevel="1" collapsed="1" x14ac:dyDescent="0.25">
      <c r="A70" s="29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SUM(OSRRefD22_15x_0)</f>
        <v>-120</v>
      </c>
      <c r="E70" s="1"/>
      <c r="F70" s="5">
        <f t="shared" ref="F70:F77" si="40">IF(D$12=0,0,D70/D$12)</f>
        <v>0</v>
      </c>
      <c r="G70" s="1"/>
      <c r="H70" s="1">
        <f>SUM(OSRRefH22_15x_0)</f>
        <v>0</v>
      </c>
      <c r="I70" s="1"/>
      <c r="J70" s="5">
        <f t="shared" ref="J70:J77" si="41">IF(H$12=0,0,H70/H$12)</f>
        <v>0</v>
      </c>
      <c r="K70" s="1"/>
      <c r="L70" s="1">
        <f t="shared" ref="L70:L77" si="42">+D70-H70</f>
        <v>-120</v>
      </c>
      <c r="M70" s="1"/>
      <c r="N70" s="5">
        <f t="shared" ref="N70:N77" si="43">IF(H70=0,0,L70/H70)</f>
        <v>0</v>
      </c>
      <c r="O70" s="14"/>
      <c r="P70" s="1">
        <f>SUM(OSRRefP22_15x_0)</f>
        <v>-120</v>
      </c>
      <c r="Q70" s="1"/>
      <c r="R70" s="5">
        <f t="shared" ref="R70:R77" si="44">IF(P$12=0,0,P70/P$12)</f>
        <v>0</v>
      </c>
      <c r="S70" s="1"/>
      <c r="T70" s="1">
        <f>SUM(OSRRefT22_15x_0)</f>
        <v>0</v>
      </c>
      <c r="U70" s="1"/>
      <c r="V70" s="5">
        <f t="shared" ref="V70:V77" si="45">IF(T$12=0,0,T70/T$12)</f>
        <v>0</v>
      </c>
      <c r="W70" s="1"/>
      <c r="X70" s="1">
        <f t="shared" ref="X70:X77" si="46">+P70-T70</f>
        <v>-120</v>
      </c>
      <c r="Y70" s="1"/>
      <c r="Z70" s="5">
        <f t="shared" ref="Z70:Z77" si="47">IF(T70=0,0,X70/T70)</f>
        <v>0</v>
      </c>
    </row>
    <row r="71" spans="1:26" s="24" customFormat="1" hidden="1" outlineLevel="2" x14ac:dyDescent="0.25">
      <c r="A71" s="28"/>
      <c r="B71" s="11" t="str">
        <f>CONCATENATE("          ", "6258", " - ", "MEMBERSHIP DUES")</f>
        <v xml:space="preserve">          6258 - MEMBERSHIP DUES</v>
      </c>
      <c r="C71" s="11"/>
      <c r="D71" s="7">
        <v>-120</v>
      </c>
      <c r="E71" s="2"/>
      <c r="F71" s="6">
        <f t="shared" si="40"/>
        <v>0</v>
      </c>
      <c r="G71" s="2"/>
      <c r="H71" s="7"/>
      <c r="I71" s="2"/>
      <c r="J71" s="6">
        <f t="shared" si="41"/>
        <v>0</v>
      </c>
      <c r="K71" s="2"/>
      <c r="L71" s="7">
        <f t="shared" si="42"/>
        <v>-120</v>
      </c>
      <c r="M71" s="2"/>
      <c r="N71" s="6">
        <f t="shared" si="43"/>
        <v>0</v>
      </c>
      <c r="O71" s="11"/>
      <c r="P71" s="7">
        <v>-120</v>
      </c>
      <c r="Q71" s="2"/>
      <c r="R71" s="6">
        <f t="shared" si="44"/>
        <v>0</v>
      </c>
      <c r="S71" s="2"/>
      <c r="T71" s="7"/>
      <c r="U71" s="2"/>
      <c r="V71" s="6">
        <f t="shared" si="45"/>
        <v>0</v>
      </c>
      <c r="W71" s="2"/>
      <c r="X71" s="7">
        <f t="shared" si="46"/>
        <v>-120</v>
      </c>
      <c r="Y71" s="2"/>
      <c r="Z71" s="6">
        <f t="shared" si="47"/>
        <v>0</v>
      </c>
    </row>
    <row r="72" spans="1:26" s="27" customFormat="1" outlineLevel="1" collapsed="1" x14ac:dyDescent="0.25">
      <c r="A72" s="29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SUM(OSRRefD22_16x_0)</f>
        <v>1990.44</v>
      </c>
      <c r="E72" s="1"/>
      <c r="F72" s="5">
        <f t="shared" si="40"/>
        <v>0</v>
      </c>
      <c r="G72" s="1"/>
      <c r="H72" s="1">
        <f>SUM(OSRRefH22_16x_0)</f>
        <v>2360.1799999999998</v>
      </c>
      <c r="I72" s="1"/>
      <c r="J72" s="5">
        <f t="shared" si="41"/>
        <v>0</v>
      </c>
      <c r="K72" s="1"/>
      <c r="L72" s="1">
        <f t="shared" si="42"/>
        <v>-369.73999999999978</v>
      </c>
      <c r="M72" s="1"/>
      <c r="N72" s="5">
        <f t="shared" si="43"/>
        <v>-0.15665754306874891</v>
      </c>
      <c r="O72" s="14"/>
      <c r="P72" s="1">
        <f>SUM(OSRRefP22_16x_0)</f>
        <v>7444.8099999999995</v>
      </c>
      <c r="Q72" s="1"/>
      <c r="R72" s="5">
        <f t="shared" si="44"/>
        <v>0</v>
      </c>
      <c r="S72" s="1"/>
      <c r="T72" s="1">
        <f>SUM(OSRRefT22_16x_0)</f>
        <v>9835.1</v>
      </c>
      <c r="U72" s="1"/>
      <c r="V72" s="5">
        <f t="shared" si="45"/>
        <v>0</v>
      </c>
      <c r="W72" s="1"/>
      <c r="X72" s="1">
        <f t="shared" si="46"/>
        <v>-2390.2900000000009</v>
      </c>
      <c r="Y72" s="1"/>
      <c r="Z72" s="5">
        <f t="shared" si="47"/>
        <v>-0.24303667476690635</v>
      </c>
    </row>
    <row r="73" spans="1:26" s="24" customFormat="1" hidden="1" outlineLevel="2" x14ac:dyDescent="0.25">
      <c r="A73" s="28"/>
      <c r="B73" s="11" t="str">
        <f>CONCATENATE("          ", "6235", " - ", "COVID-19 EXPENSES")</f>
        <v xml:space="preserve">          6235 - COVID-19 EXPENSES</v>
      </c>
      <c r="C73" s="11"/>
      <c r="D73" s="7">
        <v>462.49</v>
      </c>
      <c r="E73" s="2"/>
      <c r="F73" s="6">
        <f t="shared" si="40"/>
        <v>0</v>
      </c>
      <c r="G73" s="2"/>
      <c r="H73" s="7">
        <v>2195.08</v>
      </c>
      <c r="I73" s="2"/>
      <c r="J73" s="6">
        <f t="shared" si="41"/>
        <v>0</v>
      </c>
      <c r="K73" s="2"/>
      <c r="L73" s="7">
        <f t="shared" si="42"/>
        <v>-1732.59</v>
      </c>
      <c r="M73" s="2"/>
      <c r="N73" s="6">
        <f t="shared" si="43"/>
        <v>-0.78930608451628181</v>
      </c>
      <c r="O73" s="11"/>
      <c r="P73" s="7">
        <v>3430.32</v>
      </c>
      <c r="Q73" s="2"/>
      <c r="R73" s="6">
        <f t="shared" si="44"/>
        <v>0</v>
      </c>
      <c r="S73" s="2"/>
      <c r="T73" s="7">
        <v>7112.38</v>
      </c>
      <c r="U73" s="2"/>
      <c r="V73" s="6">
        <f t="shared" si="45"/>
        <v>0</v>
      </c>
      <c r="W73" s="2"/>
      <c r="X73" s="7">
        <f t="shared" si="46"/>
        <v>-3682.06</v>
      </c>
      <c r="Y73" s="2"/>
      <c r="Z73" s="6">
        <f t="shared" si="47"/>
        <v>-0.51769731088608872</v>
      </c>
    </row>
    <row r="74" spans="1:26" s="24" customFormat="1" hidden="1" outlineLevel="2" x14ac:dyDescent="0.25">
      <c r="A74" s="28"/>
      <c r="B74" s="11" t="str">
        <f>CONCATENATE("          ", "6237", " - ", "JANITORIAL SUPPLIES")</f>
        <v xml:space="preserve">          6237 - JANITORIAL SUPPLIES</v>
      </c>
      <c r="C74" s="11"/>
      <c r="D74" s="7">
        <v>247</v>
      </c>
      <c r="E74" s="2"/>
      <c r="F74" s="6">
        <f t="shared" si="40"/>
        <v>0</v>
      </c>
      <c r="G74" s="2"/>
      <c r="H74" s="7"/>
      <c r="I74" s="2"/>
      <c r="J74" s="6">
        <f t="shared" si="41"/>
        <v>0</v>
      </c>
      <c r="K74" s="2"/>
      <c r="L74" s="7">
        <f t="shared" si="42"/>
        <v>247</v>
      </c>
      <c r="M74" s="2"/>
      <c r="N74" s="6">
        <f t="shared" si="43"/>
        <v>0</v>
      </c>
      <c r="O74" s="11"/>
      <c r="P74" s="7">
        <v>1995.52</v>
      </c>
      <c r="Q74" s="2"/>
      <c r="R74" s="6">
        <f t="shared" si="44"/>
        <v>0</v>
      </c>
      <c r="S74" s="2"/>
      <c r="T74" s="7"/>
      <c r="U74" s="2"/>
      <c r="V74" s="6">
        <f t="shared" si="45"/>
        <v>0</v>
      </c>
      <c r="W74" s="2"/>
      <c r="X74" s="7">
        <f t="shared" si="46"/>
        <v>1995.52</v>
      </c>
      <c r="Y74" s="2"/>
      <c r="Z74" s="6">
        <f t="shared" si="47"/>
        <v>0</v>
      </c>
    </row>
    <row r="75" spans="1:26" s="24" customFormat="1" hidden="1" outlineLevel="2" x14ac:dyDescent="0.25">
      <c r="A75" s="28"/>
      <c r="B75" s="11" t="str">
        <f>CONCATENATE("          ", "6241", " - ", "OFFICE EXPENSE")</f>
        <v xml:space="preserve">          6241 - OFFICE EXPENSE</v>
      </c>
      <c r="C75" s="11"/>
      <c r="D75" s="7"/>
      <c r="E75" s="2"/>
      <c r="F75" s="6">
        <f t="shared" si="40"/>
        <v>0</v>
      </c>
      <c r="G75" s="2"/>
      <c r="H75" s="7">
        <v>34.67</v>
      </c>
      <c r="I75" s="2"/>
      <c r="J75" s="6">
        <f t="shared" si="41"/>
        <v>0</v>
      </c>
      <c r="K75" s="2"/>
      <c r="L75" s="7">
        <f t="shared" si="42"/>
        <v>-34.67</v>
      </c>
      <c r="M75" s="2"/>
      <c r="N75" s="6">
        <f t="shared" si="43"/>
        <v>-1</v>
      </c>
      <c r="O75" s="11"/>
      <c r="P75" s="7">
        <v>103.78</v>
      </c>
      <c r="Q75" s="2"/>
      <c r="R75" s="6">
        <f t="shared" si="44"/>
        <v>0</v>
      </c>
      <c r="S75" s="2"/>
      <c r="T75" s="7">
        <v>2064.8000000000002</v>
      </c>
      <c r="U75" s="2"/>
      <c r="V75" s="6">
        <f t="shared" si="45"/>
        <v>0</v>
      </c>
      <c r="W75" s="2"/>
      <c r="X75" s="7">
        <f t="shared" si="46"/>
        <v>-1961.0200000000002</v>
      </c>
      <c r="Y75" s="2"/>
      <c r="Z75" s="6">
        <f t="shared" si="47"/>
        <v>-0.94973847345989926</v>
      </c>
    </row>
    <row r="76" spans="1:26" s="24" customFormat="1" hidden="1" outlineLevel="2" x14ac:dyDescent="0.25">
      <c r="A76" s="28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40"/>
        <v>0</v>
      </c>
      <c r="G76" s="2"/>
      <c r="H76" s="7">
        <v>68.66</v>
      </c>
      <c r="I76" s="2"/>
      <c r="J76" s="6">
        <f t="shared" si="41"/>
        <v>0</v>
      </c>
      <c r="K76" s="2"/>
      <c r="L76" s="7">
        <f t="shared" si="42"/>
        <v>-68.66</v>
      </c>
      <c r="M76" s="2"/>
      <c r="N76" s="6">
        <f t="shared" si="43"/>
        <v>-1</v>
      </c>
      <c r="O76" s="11"/>
      <c r="P76" s="7">
        <v>335.32</v>
      </c>
      <c r="Q76" s="2"/>
      <c r="R76" s="6">
        <f t="shared" si="44"/>
        <v>0</v>
      </c>
      <c r="S76" s="2"/>
      <c r="T76" s="7">
        <v>68.66</v>
      </c>
      <c r="U76" s="2"/>
      <c r="V76" s="6">
        <f t="shared" si="45"/>
        <v>0</v>
      </c>
      <c r="W76" s="2"/>
      <c r="X76" s="7">
        <f t="shared" si="46"/>
        <v>266.65999999999997</v>
      </c>
      <c r="Y76" s="2"/>
      <c r="Z76" s="6">
        <f t="shared" si="47"/>
        <v>3.8837751237984266</v>
      </c>
    </row>
    <row r="77" spans="1:26" s="24" customFormat="1" hidden="1" outlineLevel="2" x14ac:dyDescent="0.25">
      <c r="A77" s="28"/>
      <c r="B77" s="11" t="str">
        <f>CONCATENATE("          ", "6247", " - ", "STORE SUPPLIES")</f>
        <v xml:space="preserve">          6247 - STORE SUPPLIES</v>
      </c>
      <c r="C77" s="11"/>
      <c r="D77" s="7">
        <v>1280.95</v>
      </c>
      <c r="E77" s="2"/>
      <c r="F77" s="6">
        <f t="shared" si="40"/>
        <v>0</v>
      </c>
      <c r="G77" s="2"/>
      <c r="H77" s="7">
        <v>61.77</v>
      </c>
      <c r="I77" s="2"/>
      <c r="J77" s="6">
        <f t="shared" si="41"/>
        <v>0</v>
      </c>
      <c r="K77" s="2"/>
      <c r="L77" s="7">
        <f t="shared" si="42"/>
        <v>1219.18</v>
      </c>
      <c r="M77" s="2"/>
      <c r="N77" s="6">
        <f t="shared" si="43"/>
        <v>19.737412983649019</v>
      </c>
      <c r="O77" s="11"/>
      <c r="P77" s="7">
        <v>1579.87</v>
      </c>
      <c r="Q77" s="2"/>
      <c r="R77" s="6">
        <f t="shared" si="44"/>
        <v>0</v>
      </c>
      <c r="S77" s="2"/>
      <c r="T77" s="7">
        <v>589.26</v>
      </c>
      <c r="U77" s="2"/>
      <c r="V77" s="6">
        <f t="shared" si="45"/>
        <v>0</v>
      </c>
      <c r="W77" s="2"/>
      <c r="X77" s="7">
        <f t="shared" si="46"/>
        <v>990.6099999999999</v>
      </c>
      <c r="Y77" s="2"/>
      <c r="Z77" s="6">
        <f t="shared" si="47"/>
        <v>1.6811085089773612</v>
      </c>
    </row>
    <row r="78" spans="1:26" s="27" customFormat="1" outlineLevel="1" collapsed="1" x14ac:dyDescent="0.25">
      <c r="A78" s="29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SUM(OSRRefD22_17x_0)</f>
        <v>594.45000000000005</v>
      </c>
      <c r="E78" s="1"/>
      <c r="F78" s="5">
        <f t="shared" ref="F78:F84" si="48">IF(D$12=0,0,D78/D$12)</f>
        <v>0</v>
      </c>
      <c r="G78" s="1"/>
      <c r="H78" s="1">
        <f>SUM(OSRRefH22_17x_0)</f>
        <v>799.06</v>
      </c>
      <c r="I78" s="1"/>
      <c r="J78" s="5">
        <f t="shared" ref="J78:J84" si="49">IF(H$12=0,0,H78/H$12)</f>
        <v>0</v>
      </c>
      <c r="K78" s="1"/>
      <c r="L78" s="1">
        <f t="shared" ref="L78:L84" si="50">+D78-H78</f>
        <v>-204.6099999999999</v>
      </c>
      <c r="M78" s="1"/>
      <c r="N78" s="5">
        <f t="shared" ref="N78:N84" si="51">IF(H78=0,0,L78/H78)</f>
        <v>-0.25606337446499627</v>
      </c>
      <c r="O78" s="14"/>
      <c r="P78" s="1">
        <f>SUM(OSRRefP22_17x_0)</f>
        <v>1645.3</v>
      </c>
      <c r="Q78" s="1"/>
      <c r="R78" s="5">
        <f t="shared" ref="R78:R84" si="52">IF(P$12=0,0,P78/P$12)</f>
        <v>0</v>
      </c>
      <c r="S78" s="1"/>
      <c r="T78" s="1">
        <f>SUM(OSRRefT22_17x_0)</f>
        <v>1973.68</v>
      </c>
      <c r="U78" s="1"/>
      <c r="V78" s="5">
        <f t="shared" ref="V78:V84" si="53">IF(T$12=0,0,T78/T$12)</f>
        <v>0</v>
      </c>
      <c r="W78" s="1"/>
      <c r="X78" s="1">
        <f t="shared" ref="X78:X84" si="54">+P78-T78</f>
        <v>-328.38000000000011</v>
      </c>
      <c r="Y78" s="1"/>
      <c r="Z78" s="5">
        <f t="shared" ref="Z78:Z84" si="55">IF(T78=0,0,X78/T78)</f>
        <v>-0.16637955494305059</v>
      </c>
    </row>
    <row r="79" spans="1:26" s="24" customFormat="1" hidden="1" outlineLevel="2" x14ac:dyDescent="0.25">
      <c r="A79" s="28"/>
      <c r="B79" s="11" t="str">
        <f>CONCATENATE("          ", "6309", " - ", "TELEPHONE")</f>
        <v xml:space="preserve">          6309 - TELEPHONE</v>
      </c>
      <c r="C79" s="11"/>
      <c r="D79" s="7">
        <v>594.45000000000005</v>
      </c>
      <c r="E79" s="2"/>
      <c r="F79" s="6">
        <f t="shared" si="48"/>
        <v>0</v>
      </c>
      <c r="G79" s="2"/>
      <c r="H79" s="7">
        <v>799.06</v>
      </c>
      <c r="I79" s="2"/>
      <c r="J79" s="6">
        <f t="shared" si="49"/>
        <v>0</v>
      </c>
      <c r="K79" s="2"/>
      <c r="L79" s="7">
        <f t="shared" si="50"/>
        <v>-204.6099999999999</v>
      </c>
      <c r="M79" s="2"/>
      <c r="N79" s="6">
        <f t="shared" si="51"/>
        <v>-0.25606337446499627</v>
      </c>
      <c r="O79" s="11"/>
      <c r="P79" s="7">
        <v>1645.3</v>
      </c>
      <c r="Q79" s="2"/>
      <c r="R79" s="6">
        <f t="shared" si="52"/>
        <v>0</v>
      </c>
      <c r="S79" s="2"/>
      <c r="T79" s="7">
        <v>1973.68</v>
      </c>
      <c r="U79" s="2"/>
      <c r="V79" s="6">
        <f t="shared" si="53"/>
        <v>0</v>
      </c>
      <c r="W79" s="2"/>
      <c r="X79" s="7">
        <f t="shared" si="54"/>
        <v>-328.38000000000011</v>
      </c>
      <c r="Y79" s="2"/>
      <c r="Z79" s="6">
        <f t="shared" si="55"/>
        <v>-0.16637955494305059</v>
      </c>
    </row>
    <row r="80" spans="1:26" s="27" customFormat="1" outlineLevel="1" collapsed="1" x14ac:dyDescent="0.25">
      <c r="A80" s="29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SUM(OSRRefD22_18x_0)</f>
        <v>595</v>
      </c>
      <c r="E80" s="1"/>
      <c r="F80" s="5">
        <f t="shared" si="48"/>
        <v>0</v>
      </c>
      <c r="G80" s="1"/>
      <c r="H80" s="1">
        <f>SUM(OSRRefH22_18x_0)</f>
        <v>0</v>
      </c>
      <c r="I80" s="1"/>
      <c r="J80" s="5">
        <f t="shared" si="49"/>
        <v>0</v>
      </c>
      <c r="K80" s="1"/>
      <c r="L80" s="1">
        <f t="shared" si="50"/>
        <v>595</v>
      </c>
      <c r="M80" s="1"/>
      <c r="N80" s="5">
        <f t="shared" si="51"/>
        <v>0</v>
      </c>
      <c r="O80" s="14"/>
      <c r="P80" s="1">
        <f>SUM(OSRRefP22_18x_0)</f>
        <v>595</v>
      </c>
      <c r="Q80" s="1"/>
      <c r="R80" s="5">
        <f t="shared" si="52"/>
        <v>0</v>
      </c>
      <c r="S80" s="1"/>
      <c r="T80" s="1">
        <f>SUM(OSRRefT22_18x_0)</f>
        <v>131.63</v>
      </c>
      <c r="U80" s="1"/>
      <c r="V80" s="5">
        <f t="shared" si="53"/>
        <v>0</v>
      </c>
      <c r="W80" s="1"/>
      <c r="X80" s="1">
        <f t="shared" si="54"/>
        <v>463.37</v>
      </c>
      <c r="Y80" s="1"/>
      <c r="Z80" s="5">
        <f t="shared" si="55"/>
        <v>3.5202461444959359</v>
      </c>
    </row>
    <row r="81" spans="1:26" s="24" customFormat="1" hidden="1" outlineLevel="2" x14ac:dyDescent="0.25">
      <c r="A81" s="28"/>
      <c r="B81" s="11" t="str">
        <f>CONCATENATE("          ", "6376", " - ", "TRAINING")</f>
        <v xml:space="preserve">          6376 - TRAINING</v>
      </c>
      <c r="C81" s="11"/>
      <c r="D81" s="7">
        <v>595</v>
      </c>
      <c r="E81" s="2"/>
      <c r="F81" s="6">
        <f t="shared" si="48"/>
        <v>0</v>
      </c>
      <c r="G81" s="2"/>
      <c r="H81" s="7"/>
      <c r="I81" s="2"/>
      <c r="J81" s="6">
        <f t="shared" si="49"/>
        <v>0</v>
      </c>
      <c r="K81" s="2"/>
      <c r="L81" s="7">
        <f t="shared" si="50"/>
        <v>595</v>
      </c>
      <c r="M81" s="2"/>
      <c r="N81" s="6">
        <f t="shared" si="51"/>
        <v>0</v>
      </c>
      <c r="O81" s="11"/>
      <c r="P81" s="7">
        <v>595</v>
      </c>
      <c r="Q81" s="2"/>
      <c r="R81" s="6">
        <f t="shared" si="52"/>
        <v>0</v>
      </c>
      <c r="S81" s="2"/>
      <c r="T81" s="7">
        <v>131.63</v>
      </c>
      <c r="U81" s="2"/>
      <c r="V81" s="6">
        <f t="shared" si="53"/>
        <v>0</v>
      </c>
      <c r="W81" s="2"/>
      <c r="X81" s="7">
        <f t="shared" si="54"/>
        <v>463.37</v>
      </c>
      <c r="Y81" s="2"/>
      <c r="Z81" s="6">
        <f t="shared" si="55"/>
        <v>3.5202461444959359</v>
      </c>
    </row>
    <row r="82" spans="1:26" s="27" customFormat="1" outlineLevel="1" collapsed="1" x14ac:dyDescent="0.25">
      <c r="A82" s="29"/>
      <c r="B82" s="14" t="str">
        <f>CONCATENATE("     ","Travel                                            ")</f>
        <v xml:space="preserve">     Travel                                            </v>
      </c>
      <c r="C82" s="14"/>
      <c r="D82" s="1">
        <f>SUM(OSRRefD22_19x_0)</f>
        <v>0</v>
      </c>
      <c r="E82" s="1"/>
      <c r="F82" s="5">
        <f t="shared" si="48"/>
        <v>0</v>
      </c>
      <c r="G82" s="1"/>
      <c r="H82" s="1">
        <f>SUM(OSRRefH22_19x_0)</f>
        <v>0</v>
      </c>
      <c r="I82" s="1"/>
      <c r="J82" s="5">
        <f t="shared" si="49"/>
        <v>0</v>
      </c>
      <c r="K82" s="1"/>
      <c r="L82" s="1">
        <f t="shared" si="50"/>
        <v>0</v>
      </c>
      <c r="M82" s="1"/>
      <c r="N82" s="5">
        <f t="shared" si="51"/>
        <v>0</v>
      </c>
      <c r="O82" s="14"/>
      <c r="P82" s="1">
        <f>SUM(OSRRefP22_19x_0)</f>
        <v>495</v>
      </c>
      <c r="Q82" s="1"/>
      <c r="R82" s="5">
        <f t="shared" si="52"/>
        <v>0</v>
      </c>
      <c r="S82" s="1"/>
      <c r="T82" s="1">
        <f>SUM(OSRRefT22_19x_0)</f>
        <v>59.89</v>
      </c>
      <c r="U82" s="1"/>
      <c r="V82" s="5">
        <f t="shared" si="53"/>
        <v>0</v>
      </c>
      <c r="W82" s="1"/>
      <c r="X82" s="1">
        <f t="shared" si="54"/>
        <v>435.11</v>
      </c>
      <c r="Y82" s="1"/>
      <c r="Z82" s="5">
        <f t="shared" si="55"/>
        <v>7.2651527800968445</v>
      </c>
    </row>
    <row r="83" spans="1:26" s="24" customFormat="1" hidden="1" outlineLevel="2" x14ac:dyDescent="0.25">
      <c r="A83" s="28"/>
      <c r="B83" s="11" t="str">
        <f>CONCATENATE("          ", "6292", " - ", "TRAVEL/CONFERENCE")</f>
        <v xml:space="preserve">          6292 - TRAVEL/CONFERENCE</v>
      </c>
      <c r="C83" s="11"/>
      <c r="D83" s="7"/>
      <c r="E83" s="2"/>
      <c r="F83" s="6">
        <f t="shared" si="48"/>
        <v>0</v>
      </c>
      <c r="G83" s="2"/>
      <c r="H83" s="7"/>
      <c r="I83" s="2"/>
      <c r="J83" s="6">
        <f t="shared" si="49"/>
        <v>0</v>
      </c>
      <c r="K83" s="2"/>
      <c r="L83" s="7">
        <f t="shared" si="50"/>
        <v>0</v>
      </c>
      <c r="M83" s="2"/>
      <c r="N83" s="6">
        <f t="shared" si="51"/>
        <v>0</v>
      </c>
      <c r="O83" s="11"/>
      <c r="P83" s="7">
        <v>495</v>
      </c>
      <c r="Q83" s="2"/>
      <c r="R83" s="6">
        <f t="shared" si="52"/>
        <v>0</v>
      </c>
      <c r="S83" s="2"/>
      <c r="T83" s="7"/>
      <c r="U83" s="2"/>
      <c r="V83" s="6">
        <f t="shared" si="53"/>
        <v>0</v>
      </c>
      <c r="W83" s="2"/>
      <c r="X83" s="7">
        <f t="shared" si="54"/>
        <v>495</v>
      </c>
      <c r="Y83" s="2"/>
      <c r="Z83" s="6">
        <f t="shared" si="55"/>
        <v>0</v>
      </c>
    </row>
    <row r="84" spans="1:26" s="24" customFormat="1" hidden="1" outlineLevel="2" x14ac:dyDescent="0.25">
      <c r="A84" s="28"/>
      <c r="B84" s="11" t="str">
        <f>CONCATENATE("          ", "6298", " - ", "VEHICLE MILEAGE")</f>
        <v xml:space="preserve">          6298 - VEHICLE MILEAGE</v>
      </c>
      <c r="C84" s="11"/>
      <c r="D84" s="7"/>
      <c r="E84" s="2"/>
      <c r="F84" s="6">
        <f t="shared" si="48"/>
        <v>0</v>
      </c>
      <c r="G84" s="2"/>
      <c r="H84" s="7"/>
      <c r="I84" s="2"/>
      <c r="J84" s="6">
        <f t="shared" si="49"/>
        <v>0</v>
      </c>
      <c r="K84" s="2"/>
      <c r="L84" s="7">
        <f t="shared" si="50"/>
        <v>0</v>
      </c>
      <c r="M84" s="2"/>
      <c r="N84" s="6">
        <f t="shared" si="51"/>
        <v>0</v>
      </c>
      <c r="O84" s="11"/>
      <c r="P84" s="7"/>
      <c r="Q84" s="2"/>
      <c r="R84" s="6">
        <f t="shared" si="52"/>
        <v>0</v>
      </c>
      <c r="S84" s="2"/>
      <c r="T84" s="7">
        <v>59.89</v>
      </c>
      <c r="U84" s="2"/>
      <c r="V84" s="6">
        <f t="shared" si="53"/>
        <v>0</v>
      </c>
      <c r="W84" s="2"/>
      <c r="X84" s="7">
        <f t="shared" si="54"/>
        <v>-59.89</v>
      </c>
      <c r="Y84" s="2"/>
      <c r="Z84" s="6">
        <f t="shared" si="55"/>
        <v>-1</v>
      </c>
    </row>
    <row r="85" spans="1:26" s="27" customFormat="1" outlineLevel="1" collapsed="1" x14ac:dyDescent="0.25">
      <c r="A85" s="29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SUM(OSRRefD22_20x_0)</f>
        <v>6000</v>
      </c>
      <c r="E85" s="1"/>
      <c r="F85" s="5">
        <f t="shared" ref="F85:F86" si="56">IF(D$12=0,0,D85/D$12)</f>
        <v>0</v>
      </c>
      <c r="G85" s="1"/>
      <c r="H85" s="1">
        <f>SUM(OSRRefH22_20x_0)</f>
        <v>6133</v>
      </c>
      <c r="I85" s="1"/>
      <c r="J85" s="5">
        <f t="shared" ref="J85:J86" si="57">IF(H$12=0,0,H85/H$12)</f>
        <v>0</v>
      </c>
      <c r="K85" s="1"/>
      <c r="L85" s="1">
        <f t="shared" ref="L85:L86" si="58">+D85-H85</f>
        <v>-133</v>
      </c>
      <c r="M85" s="1"/>
      <c r="N85" s="5">
        <f t="shared" ref="N85:N86" si="59">IF(H85=0,0,L85/H85)</f>
        <v>-2.1685961193543126E-2</v>
      </c>
      <c r="O85" s="14"/>
      <c r="P85" s="1">
        <f>SUM(OSRRefP22_20x_0)</f>
        <v>18000</v>
      </c>
      <c r="Q85" s="1"/>
      <c r="R85" s="5">
        <f t="shared" ref="R85:R86" si="60">IF(P$12=0,0,P85/P$12)</f>
        <v>0</v>
      </c>
      <c r="S85" s="1"/>
      <c r="T85" s="1">
        <f>SUM(OSRRefT22_20x_0)</f>
        <v>18399</v>
      </c>
      <c r="U85" s="1"/>
      <c r="V85" s="5">
        <f t="shared" ref="V85:V86" si="61">IF(T$12=0,0,T85/T$12)</f>
        <v>0</v>
      </c>
      <c r="W85" s="1"/>
      <c r="X85" s="1">
        <f t="shared" ref="X85:X86" si="62">+P85-T85</f>
        <v>-399</v>
      </c>
      <c r="Y85" s="1"/>
      <c r="Z85" s="5">
        <f t="shared" ref="Z85:Z86" si="63">IF(T85=0,0,X85/T85)</f>
        <v>-2.1685961193543126E-2</v>
      </c>
    </row>
    <row r="86" spans="1:26" s="24" customFormat="1" hidden="1" outlineLevel="2" x14ac:dyDescent="0.25">
      <c r="A86" s="28"/>
      <c r="B86" s="11" t="str">
        <f>CONCATENATE("          ", "6274", " - ", "UTILITIES")</f>
        <v xml:space="preserve">          6274 - UTILITIES</v>
      </c>
      <c r="C86" s="11"/>
      <c r="D86" s="7">
        <v>6000</v>
      </c>
      <c r="E86" s="2"/>
      <c r="F86" s="6">
        <f t="shared" si="56"/>
        <v>0</v>
      </c>
      <c r="G86" s="2"/>
      <c r="H86" s="7">
        <v>6133</v>
      </c>
      <c r="I86" s="2"/>
      <c r="J86" s="6">
        <f t="shared" si="57"/>
        <v>0</v>
      </c>
      <c r="K86" s="2"/>
      <c r="L86" s="7">
        <f t="shared" si="58"/>
        <v>-133</v>
      </c>
      <c r="M86" s="2"/>
      <c r="N86" s="6">
        <f t="shared" si="59"/>
        <v>-2.1685961193543126E-2</v>
      </c>
      <c r="O86" s="11"/>
      <c r="P86" s="7">
        <v>18000</v>
      </c>
      <c r="Q86" s="2"/>
      <c r="R86" s="6">
        <f t="shared" si="60"/>
        <v>0</v>
      </c>
      <c r="S86" s="2"/>
      <c r="T86" s="7">
        <v>18399</v>
      </c>
      <c r="U86" s="2"/>
      <c r="V86" s="6">
        <f t="shared" si="61"/>
        <v>0</v>
      </c>
      <c r="W86" s="2"/>
      <c r="X86" s="7">
        <f t="shared" si="62"/>
        <v>-399</v>
      </c>
      <c r="Y86" s="2"/>
      <c r="Z86" s="6">
        <f t="shared" si="63"/>
        <v>-2.1685961193543126E-2</v>
      </c>
    </row>
    <row r="87" spans="1:26" s="54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25">
      <c r="A88" s="10"/>
      <c r="B88" s="26" t="s">
        <v>292</v>
      </c>
      <c r="C88" s="10"/>
      <c r="D88" s="4">
        <f>SUM(OSRRefD25x_0)</f>
        <v>5282.59</v>
      </c>
      <c r="E88" s="4"/>
      <c r="F88" s="12">
        <f t="shared" ref="F88:F89" si="64">IF(D$12=0,0,D88/D$12)</f>
        <v>0</v>
      </c>
      <c r="G88" s="4"/>
      <c r="H88" s="4">
        <f>SUM(OSRRefH25x_0)</f>
        <v>2929.62</v>
      </c>
      <c r="I88" s="4"/>
      <c r="J88" s="12">
        <f t="shared" ref="J88:J89" si="65">IF(H$12=0,0,H88/H$12)</f>
        <v>0</v>
      </c>
      <c r="K88" s="4"/>
      <c r="L88" s="4">
        <f t="shared" ref="L88:L89" si="66">+D88-H88</f>
        <v>2352.9700000000003</v>
      </c>
      <c r="M88" s="4"/>
      <c r="N88" s="12">
        <f t="shared" ref="N88:N89" si="67">IF(H88=0,0,L88/H88)</f>
        <v>0.80316559826871758</v>
      </c>
      <c r="O88" s="10"/>
      <c r="P88" s="4">
        <f>SUM(OSRRefP25x_0)</f>
        <v>68231.48</v>
      </c>
      <c r="Q88" s="4"/>
      <c r="R88" s="12">
        <f t="shared" ref="R88:R89" si="68">IF(P$12=0,0,P88/P$12)</f>
        <v>0</v>
      </c>
      <c r="S88" s="4"/>
      <c r="T88" s="4">
        <f>SUM(OSRRefT25x_0)</f>
        <v>68150.55</v>
      </c>
      <c r="U88" s="4"/>
      <c r="V88" s="12">
        <f t="shared" ref="V88:V89" si="69">IF(T$12=0,0,T88/T$12)</f>
        <v>0</v>
      </c>
      <c r="W88" s="4"/>
      <c r="X88" s="4">
        <f t="shared" ref="X88:X89" si="70">+P88-T88</f>
        <v>80.929999999993015</v>
      </c>
      <c r="Y88" s="4"/>
      <c r="Z88" s="12">
        <f t="shared" ref="Z88:Z89" si="71">IF(T88=0,0,X88/T88)</f>
        <v>1.1875179290554956E-3</v>
      </c>
    </row>
    <row r="89" spans="1:26" s="24" customFormat="1" hidden="1" outlineLevel="1" x14ac:dyDescent="0.25">
      <c r="A89" s="44"/>
      <c r="B89" s="11" t="str">
        <f>CONCATENATE("          ", "9150", " - ", "MISC. INCOME")</f>
        <v xml:space="preserve">          9150 - MISC. INCOME</v>
      </c>
      <c r="C89" s="11"/>
      <c r="D89" s="2">
        <f>--5282.59</f>
        <v>5282.59</v>
      </c>
      <c r="E89" s="2"/>
      <c r="F89" s="19">
        <f t="shared" si="64"/>
        <v>0</v>
      </c>
      <c r="G89" s="2"/>
      <c r="H89" s="2">
        <f>--2929.62</f>
        <v>2929.62</v>
      </c>
      <c r="I89" s="2"/>
      <c r="J89" s="19">
        <f t="shared" si="65"/>
        <v>0</v>
      </c>
      <c r="K89" s="2"/>
      <c r="L89" s="2">
        <f t="shared" si="66"/>
        <v>2352.9700000000003</v>
      </c>
      <c r="M89" s="2"/>
      <c r="N89" s="19">
        <f t="shared" si="67"/>
        <v>0.80316559826871758</v>
      </c>
      <c r="O89" s="11"/>
      <c r="P89" s="2">
        <f>--68231.48</f>
        <v>68231.48</v>
      </c>
      <c r="Q89" s="2"/>
      <c r="R89" s="19">
        <f t="shared" si="68"/>
        <v>0</v>
      </c>
      <c r="S89" s="2"/>
      <c r="T89" s="2">
        <f>--68150.55</f>
        <v>68150.55</v>
      </c>
      <c r="U89" s="2"/>
      <c r="V89" s="19">
        <f t="shared" si="69"/>
        <v>0</v>
      </c>
      <c r="W89" s="2"/>
      <c r="X89" s="2">
        <f t="shared" si="70"/>
        <v>80.929999999993015</v>
      </c>
      <c r="Y89" s="2"/>
      <c r="Z89" s="19">
        <f t="shared" si="71"/>
        <v>1.1875179290554956E-3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5" t="s">
        <v>276</v>
      </c>
      <c r="C91" s="25"/>
      <c r="D91" s="21">
        <f>+D16-D18+D88</f>
        <v>-122773.22000000002</v>
      </c>
      <c r="E91" s="13"/>
      <c r="F91" s="22">
        <f>IF(D$12=0,0,D91/D$12)</f>
        <v>0</v>
      </c>
      <c r="G91" s="13"/>
      <c r="H91" s="21">
        <f>+H16-H18+H88</f>
        <v>-106296.06000000001</v>
      </c>
      <c r="I91" s="13"/>
      <c r="J91" s="22">
        <f>IF(H$12=0,0,H91/H$12)</f>
        <v>0</v>
      </c>
      <c r="K91" s="16"/>
      <c r="L91" s="21">
        <f>+D91-H91</f>
        <v>-16477.160000000003</v>
      </c>
      <c r="M91" s="16"/>
      <c r="N91" s="22">
        <f>IF(H91=0,0,L91/H91)</f>
        <v>0.15501195434713197</v>
      </c>
      <c r="O91" s="26"/>
      <c r="P91" s="21">
        <f>+P16-P18+P88</f>
        <v>-406152.74000000005</v>
      </c>
      <c r="Q91" s="13"/>
      <c r="R91" s="22">
        <f>IF(P$12=0,0,P91/P$12)</f>
        <v>0</v>
      </c>
      <c r="S91" s="13"/>
      <c r="T91" s="21">
        <f>+T16-T18+T88</f>
        <v>-348454.49</v>
      </c>
      <c r="U91" s="13"/>
      <c r="V91" s="22">
        <f>IF(T$12=0,0,T91/T$12)</f>
        <v>0</v>
      </c>
      <c r="W91" s="16"/>
      <c r="X91" s="21">
        <f>+P91-T91</f>
        <v>-57698.250000000058</v>
      </c>
      <c r="Y91" s="16"/>
      <c r="Z91" s="22">
        <f>IF(T91=0,0,X91/T91)</f>
        <v>0.16558331620292813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127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5" t="s">
        <v>125</v>
      </c>
      <c r="C95" s="25"/>
      <c r="D95" s="33">
        <f>+D91-D93</f>
        <v>-122773.22000000002</v>
      </c>
      <c r="E95" s="13"/>
      <c r="F95" s="35">
        <f>IF(D$12=0,0,D95/D$12)</f>
        <v>0</v>
      </c>
      <c r="G95" s="13"/>
      <c r="H95" s="33">
        <f>+H91-H93</f>
        <v>-106296.06000000001</v>
      </c>
      <c r="I95" s="13"/>
      <c r="J95" s="35">
        <f>IF(H$12=0,0,H95/H$12)</f>
        <v>0</v>
      </c>
      <c r="K95" s="16"/>
      <c r="L95" s="33">
        <f>D95-H95</f>
        <v>-16477.160000000003</v>
      </c>
      <c r="M95" s="16"/>
      <c r="N95" s="35">
        <f>IF(H95=0,0,L95/H95)</f>
        <v>0.15501195434713197</v>
      </c>
      <c r="O95" s="26"/>
      <c r="P95" s="33">
        <f>+P91-P93</f>
        <v>-406152.74000000005</v>
      </c>
      <c r="Q95" s="13"/>
      <c r="R95" s="35">
        <f>IF(P$12=0,0,P95/P$12)</f>
        <v>0</v>
      </c>
      <c r="S95" s="13"/>
      <c r="T95" s="33">
        <f>+T91-T93</f>
        <v>-348454.49</v>
      </c>
      <c r="U95" s="13"/>
      <c r="V95" s="35">
        <f>IF(T$12=0,0,T95/T$12)</f>
        <v>0</v>
      </c>
      <c r="W95" s="16"/>
      <c r="X95" s="33">
        <f>P95-T95</f>
        <v>-57698.250000000058</v>
      </c>
      <c r="Y95" s="16"/>
      <c r="Z95" s="35">
        <f>IF(T95=0,0,X95/T95)</f>
        <v>0.16558331620292813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5" t="s">
        <v>293</v>
      </c>
      <c r="C98" s="25"/>
      <c r="D98" s="31">
        <f>SUM(D95:D97)</f>
        <v>-122773.22000000002</v>
      </c>
      <c r="E98" s="13"/>
      <c r="F98" s="32">
        <f>IF(D$12=0,0,D98/D$12)</f>
        <v>0</v>
      </c>
      <c r="G98" s="13"/>
      <c r="H98" s="31">
        <f>SUM(H95:H97)</f>
        <v>-106296.06000000001</v>
      </c>
      <c r="I98" s="13"/>
      <c r="J98" s="32">
        <f>IF(H$12=0,0,H98/H$12)</f>
        <v>0</v>
      </c>
      <c r="K98" s="16"/>
      <c r="L98" s="31">
        <f>+D98-H98</f>
        <v>-16477.160000000003</v>
      </c>
      <c r="M98" s="16"/>
      <c r="N98" s="32">
        <f>IF(H98=0,0,L98/H98)</f>
        <v>0.15501195434713197</v>
      </c>
      <c r="O98" s="26"/>
      <c r="P98" s="31">
        <f>SUM(P95:P97)</f>
        <v>-406152.74000000005</v>
      </c>
      <c r="Q98" s="13"/>
      <c r="R98" s="32">
        <f>IF(P$12=0,0,P98/P$12)</f>
        <v>0</v>
      </c>
      <c r="S98" s="13"/>
      <c r="T98" s="31">
        <f>SUM(T95:T97)</f>
        <v>-348454.49</v>
      </c>
      <c r="U98" s="13"/>
      <c r="V98" s="32">
        <f>IF(T$12=0,0,T98/T$12)</f>
        <v>0</v>
      </c>
      <c r="W98" s="16"/>
      <c r="X98" s="31">
        <f>+P98-T98</f>
        <v>-57698.250000000058</v>
      </c>
      <c r="Y98" s="16"/>
      <c r="Z98" s="32">
        <f>IF(T98=0,0,X98/T98)</f>
        <v>0.16558331620292813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58">
        <v>44481.985668518515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3" t="s">
        <v>56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2"/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</sheetPr>
  <dimension ref="A2:Z5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","306", " - ", "Warehouse")</f>
        <v>Department 306 - Warehouse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0</v>
      </c>
      <c r="E18" s="20"/>
      <c r="F18" s="30">
        <f t="shared" ref="F18:F23" si="0">IF(D$12=0,0,D18/D$12)</f>
        <v>0</v>
      </c>
      <c r="G18" s="20"/>
      <c r="H18" s="20">
        <f>SUM(OSRRefH22x_0)</f>
        <v>0</v>
      </c>
      <c r="I18" s="20"/>
      <c r="J18" s="30">
        <f t="shared" ref="J18:J23" si="1">IF(H$12=0,0,H18/H$12)</f>
        <v>0</v>
      </c>
      <c r="K18" s="4"/>
      <c r="L18" s="20">
        <f t="shared" ref="L18:L23" si="2">+D18-H18</f>
        <v>0</v>
      </c>
      <c r="M18" s="4"/>
      <c r="N18" s="30">
        <f t="shared" ref="N18:N23" si="3">IF(H18=0,0,L18/H18)</f>
        <v>0</v>
      </c>
      <c r="O18" s="10"/>
      <c r="P18" s="20">
        <f>SUM(OSRRefP22x_0)</f>
        <v>0</v>
      </c>
      <c r="Q18" s="20"/>
      <c r="R18" s="30">
        <f t="shared" ref="R18:R23" si="4">IF(P$12=0,0,P18/P$12)</f>
        <v>0</v>
      </c>
      <c r="S18" s="20"/>
      <c r="T18" s="20">
        <f>SUM(OSRRefT22x_0)</f>
        <v>0.23</v>
      </c>
      <c r="U18" s="20"/>
      <c r="V18" s="30">
        <f t="shared" ref="V18:V23" si="5">IF(T$12=0,0,T18/T$12)</f>
        <v>0</v>
      </c>
      <c r="W18" s="4"/>
      <c r="X18" s="20">
        <f t="shared" ref="X18:X23" si="6">+P18-T18</f>
        <v>-0.23</v>
      </c>
      <c r="Y18" s="4"/>
      <c r="Z18" s="30">
        <f t="shared" ref="Z18:Z23" si="7">IF(T18=0,0,X18/T18)</f>
        <v>-1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/>
      <c r="Q20" s="2"/>
      <c r="R20" s="6">
        <f t="shared" si="4"/>
        <v>0</v>
      </c>
      <c r="S20" s="2"/>
      <c r="T20" s="7">
        <v>401.9</v>
      </c>
      <c r="U20" s="2"/>
      <c r="V20" s="6">
        <f t="shared" si="5"/>
        <v>0</v>
      </c>
      <c r="W20" s="2"/>
      <c r="X20" s="7">
        <f t="shared" si="6"/>
        <v>-401.9</v>
      </c>
      <c r="Y20" s="2"/>
      <c r="Z20" s="6">
        <f t="shared" si="7"/>
        <v>-1</v>
      </c>
    </row>
    <row r="21" spans="1:26" s="24" customFormat="1" hidden="1" outlineLevel="2" x14ac:dyDescent="0.25">
      <c r="A21" s="28"/>
      <c r="B21" s="11" t="str">
        <f>CONCATENATE("          ", "6113", " - ", "GROUP INSURANCE")</f>
        <v xml:space="preserve">          6113 - GROUP INSURANCE</v>
      </c>
      <c r="C21" s="11"/>
      <c r="D21" s="7"/>
      <c r="E21" s="2"/>
      <c r="F21" s="6">
        <f t="shared" si="0"/>
        <v>0</v>
      </c>
      <c r="G21" s="2"/>
      <c r="H21" s="7"/>
      <c r="I21" s="2"/>
      <c r="J21" s="6">
        <f t="shared" si="1"/>
        <v>0</v>
      </c>
      <c r="K21" s="2"/>
      <c r="L21" s="7">
        <f t="shared" si="2"/>
        <v>0</v>
      </c>
      <c r="M21" s="2"/>
      <c r="N21" s="6">
        <f t="shared" si="3"/>
        <v>0</v>
      </c>
      <c r="O21" s="11"/>
      <c r="P21" s="7"/>
      <c r="Q21" s="2"/>
      <c r="R21" s="6">
        <f t="shared" si="4"/>
        <v>0</v>
      </c>
      <c r="S21" s="2"/>
      <c r="T21" s="7">
        <v>0</v>
      </c>
      <c r="U21" s="2"/>
      <c r="V21" s="6">
        <f t="shared" si="5"/>
        <v>0</v>
      </c>
      <c r="W21" s="2"/>
      <c r="X21" s="7">
        <f t="shared" si="6"/>
        <v>0</v>
      </c>
      <c r="Y21" s="2"/>
      <c r="Z21" s="6">
        <f t="shared" si="7"/>
        <v>0</v>
      </c>
    </row>
    <row r="22" spans="1:26" s="24" customFormat="1" hidden="1" outlineLevel="2" x14ac:dyDescent="0.25">
      <c r="A22" s="28"/>
      <c r="B22" s="11" t="str">
        <f>CONCATENATE("          ", "6115", " - ", "P.E.R.S.")</f>
        <v xml:space="preserve">          6115 - P.E.R.S.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0</v>
      </c>
      <c r="U22" s="2"/>
      <c r="V22" s="6">
        <f t="shared" si="5"/>
        <v>0</v>
      </c>
      <c r="W22" s="2"/>
      <c r="X22" s="7">
        <f t="shared" si="6"/>
        <v>0</v>
      </c>
      <c r="Y22" s="2"/>
      <c r="Z22" s="6">
        <f t="shared" si="7"/>
        <v>0</v>
      </c>
    </row>
    <row r="23" spans="1:26" s="24" customFormat="1" hidden="1" outlineLevel="2" x14ac:dyDescent="0.25">
      <c r="A23" s="28"/>
      <c r="B23" s="11" t="str">
        <f>CONCATENATE("          ", "6116", " - ", "EDUCATIONAL BENEFITS")</f>
        <v xml:space="preserve">          6116 - EDUCATIONAL BENEFITS</v>
      </c>
      <c r="C23" s="11"/>
      <c r="D23" s="7"/>
      <c r="E23" s="2"/>
      <c r="F23" s="6">
        <f t="shared" si="0"/>
        <v>0</v>
      </c>
      <c r="G23" s="2"/>
      <c r="H23" s="7"/>
      <c r="I23" s="2"/>
      <c r="J23" s="6">
        <f t="shared" si="1"/>
        <v>0</v>
      </c>
      <c r="K23" s="2"/>
      <c r="L23" s="7">
        <f t="shared" si="2"/>
        <v>0</v>
      </c>
      <c r="M23" s="2"/>
      <c r="N23" s="6">
        <f t="shared" si="3"/>
        <v>0</v>
      </c>
      <c r="O23" s="11"/>
      <c r="P23" s="7"/>
      <c r="Q23" s="2"/>
      <c r="R23" s="6">
        <f t="shared" si="4"/>
        <v>0</v>
      </c>
      <c r="S23" s="2"/>
      <c r="T23" s="7">
        <v>-401.9</v>
      </c>
      <c r="U23" s="2"/>
      <c r="V23" s="6">
        <f t="shared" si="5"/>
        <v>0</v>
      </c>
      <c r="W23" s="2"/>
      <c r="X23" s="7">
        <f t="shared" si="6"/>
        <v>401.9</v>
      </c>
      <c r="Y23" s="2"/>
      <c r="Z23" s="6">
        <f t="shared" si="7"/>
        <v>-1</v>
      </c>
    </row>
    <row r="24" spans="1:26" s="27" customFormat="1" outlineLevel="1" collapsed="1" x14ac:dyDescent="0.25">
      <c r="A24" s="29"/>
      <c r="B24" s="14" t="str">
        <f>CONCATENATE("     ","*Payroll                                          ")</f>
        <v xml:space="preserve">     *Payroll                                          </v>
      </c>
      <c r="C24" s="14"/>
      <c r="D24" s="1">
        <f>SUM(OSRRefD22_1x_0)</f>
        <v>0</v>
      </c>
      <c r="E24" s="1"/>
      <c r="F24" s="5">
        <f t="shared" ref="F24:F26" si="8">IF(D$12=0,0,D24/D$12)</f>
        <v>0</v>
      </c>
      <c r="G24" s="1"/>
      <c r="H24" s="1">
        <f>SUM(OSRRefH22_1x_0)</f>
        <v>0</v>
      </c>
      <c r="I24" s="1"/>
      <c r="J24" s="5">
        <f t="shared" ref="J24:J26" si="9">IF(H$12=0,0,H24/H$12)</f>
        <v>0</v>
      </c>
      <c r="K24" s="1"/>
      <c r="L24" s="1">
        <f t="shared" ref="L24:L26" si="10">+D24-H24</f>
        <v>0</v>
      </c>
      <c r="M24" s="1"/>
      <c r="N24" s="5">
        <f t="shared" ref="N24:N26" si="11">IF(H24=0,0,L24/H24)</f>
        <v>0</v>
      </c>
      <c r="O24" s="14"/>
      <c r="P24" s="1">
        <f>SUM(OSRRefP22_1x_0)</f>
        <v>0</v>
      </c>
      <c r="Q24" s="1"/>
      <c r="R24" s="5">
        <f t="shared" ref="R24:R26" si="12">IF(P$12=0,0,P24/P$12)</f>
        <v>0</v>
      </c>
      <c r="S24" s="1"/>
      <c r="T24" s="1">
        <f>SUM(OSRRefT22_1x_0)</f>
        <v>0.23</v>
      </c>
      <c r="U24" s="1"/>
      <c r="V24" s="5">
        <f t="shared" ref="V24:V26" si="13">IF(T$12=0,0,T24/T$12)</f>
        <v>0</v>
      </c>
      <c r="W24" s="1"/>
      <c r="X24" s="1">
        <f t="shared" ref="X24:X26" si="14">+P24-T24</f>
        <v>-0.23</v>
      </c>
      <c r="Y24" s="1"/>
      <c r="Z24" s="5">
        <f t="shared" ref="Z24:Z26" si="15">IF(T24=0,0,X24/T24)</f>
        <v>-1</v>
      </c>
    </row>
    <row r="25" spans="1:26" s="24" customFormat="1" hidden="1" outlineLevel="2" x14ac:dyDescent="0.25">
      <c r="A25" s="28"/>
      <c r="B25" s="11" t="str">
        <f>CONCATENATE("          ", "6004", " - ", "STAFF HOURLY")</f>
        <v xml:space="preserve">          6004 - STAFF HOURLY</v>
      </c>
      <c r="C25" s="11"/>
      <c r="D25" s="7"/>
      <c r="E25" s="2"/>
      <c r="F25" s="6">
        <f t="shared" si="8"/>
        <v>0</v>
      </c>
      <c r="G25" s="2"/>
      <c r="H25" s="7"/>
      <c r="I25" s="2"/>
      <c r="J25" s="6">
        <f t="shared" si="9"/>
        <v>0</v>
      </c>
      <c r="K25" s="2"/>
      <c r="L25" s="7">
        <f t="shared" si="10"/>
        <v>0</v>
      </c>
      <c r="M25" s="2"/>
      <c r="N25" s="6">
        <f t="shared" si="11"/>
        <v>0</v>
      </c>
      <c r="O25" s="11"/>
      <c r="P25" s="7"/>
      <c r="Q25" s="2"/>
      <c r="R25" s="6">
        <f t="shared" si="12"/>
        <v>0</v>
      </c>
      <c r="S25" s="2"/>
      <c r="T25" s="7">
        <v>0.23</v>
      </c>
      <c r="U25" s="2"/>
      <c r="V25" s="6">
        <f t="shared" si="13"/>
        <v>0</v>
      </c>
      <c r="W25" s="2"/>
      <c r="X25" s="7">
        <f t="shared" si="14"/>
        <v>-0.23</v>
      </c>
      <c r="Y25" s="2"/>
      <c r="Z25" s="6">
        <f t="shared" si="15"/>
        <v>-1</v>
      </c>
    </row>
    <row r="26" spans="1:26" s="24" customFormat="1" hidden="1" outlineLevel="2" x14ac:dyDescent="0.25">
      <c r="A26" s="28"/>
      <c r="B26" s="11" t="str">
        <f>CONCATENATE("          ", "6005", " - ", "TEMPORARY WAGES-HOURLY")</f>
        <v xml:space="preserve">          6005 - TEMPORARY WAGES-HOURLY</v>
      </c>
      <c r="C26" s="11"/>
      <c r="D26" s="7"/>
      <c r="E26" s="2"/>
      <c r="F26" s="6">
        <f t="shared" si="8"/>
        <v>0</v>
      </c>
      <c r="G26" s="2"/>
      <c r="H26" s="7"/>
      <c r="I26" s="2"/>
      <c r="J26" s="6">
        <f t="shared" si="9"/>
        <v>0</v>
      </c>
      <c r="K26" s="2"/>
      <c r="L26" s="7">
        <f t="shared" si="10"/>
        <v>0</v>
      </c>
      <c r="M26" s="2"/>
      <c r="N26" s="6">
        <f t="shared" si="11"/>
        <v>0</v>
      </c>
      <c r="O26" s="11"/>
      <c r="P26" s="7"/>
      <c r="Q26" s="2"/>
      <c r="R26" s="6">
        <f t="shared" si="12"/>
        <v>0</v>
      </c>
      <c r="S26" s="2"/>
      <c r="T26" s="7">
        <v>0</v>
      </c>
      <c r="U26" s="2"/>
      <c r="V26" s="6">
        <f t="shared" si="13"/>
        <v>0</v>
      </c>
      <c r="W26" s="2"/>
      <c r="X26" s="7">
        <f t="shared" si="14"/>
        <v>0</v>
      </c>
      <c r="Y26" s="2"/>
      <c r="Z26" s="6">
        <f t="shared" si="15"/>
        <v>0</v>
      </c>
    </row>
    <row r="27" spans="1:26" s="27" customFormat="1" outlineLevel="1" collapsed="1" x14ac:dyDescent="0.25">
      <c r="A27" s="29"/>
      <c r="B27" s="14" t="str">
        <f>CONCATENATE("     ","Equipment Rental                                  ")</f>
        <v xml:space="preserve">     Equipment Rental                                  </v>
      </c>
      <c r="C27" s="14"/>
      <c r="D27" s="1">
        <f>SUM(OSRRefD22_2x_0)</f>
        <v>0</v>
      </c>
      <c r="E27" s="1"/>
      <c r="F27" s="5">
        <f t="shared" ref="F27:F34" si="16">IF(D$12=0,0,D27/D$12)</f>
        <v>0</v>
      </c>
      <c r="G27" s="1"/>
      <c r="H27" s="1">
        <f>SUM(OSRRefH22_2x_0)</f>
        <v>0</v>
      </c>
      <c r="I27" s="1"/>
      <c r="J27" s="5">
        <f t="shared" ref="J27:J34" si="17">IF(H$12=0,0,H27/H$12)</f>
        <v>0</v>
      </c>
      <c r="K27" s="1"/>
      <c r="L27" s="1">
        <f t="shared" ref="L27:L34" si="18">+D27-H27</f>
        <v>0</v>
      </c>
      <c r="M27" s="1"/>
      <c r="N27" s="5">
        <f t="shared" ref="N27:N34" si="19">IF(H27=0,0,L27/H27)</f>
        <v>0</v>
      </c>
      <c r="O27" s="14"/>
      <c r="P27" s="1">
        <f>SUM(OSRRefP22_2x_0)</f>
        <v>0</v>
      </c>
      <c r="Q27" s="1"/>
      <c r="R27" s="5">
        <f t="shared" ref="R27:R34" si="20">IF(P$12=0,0,P27/P$12)</f>
        <v>0</v>
      </c>
      <c r="S27" s="1"/>
      <c r="T27" s="1">
        <f>SUM(OSRRefT22_2x_0)</f>
        <v>0</v>
      </c>
      <c r="U27" s="1"/>
      <c r="V27" s="5">
        <f t="shared" ref="V27:V34" si="21">IF(T$12=0,0,T27/T$12)</f>
        <v>0</v>
      </c>
      <c r="W27" s="1"/>
      <c r="X27" s="1">
        <f t="shared" ref="X27:X34" si="22">+P27-T27</f>
        <v>0</v>
      </c>
      <c r="Y27" s="1"/>
      <c r="Z27" s="5">
        <f t="shared" ref="Z27:Z34" si="23">IF(T27=0,0,X27/T27)</f>
        <v>0</v>
      </c>
    </row>
    <row r="28" spans="1:26" s="24" customFormat="1" hidden="1" outlineLevel="2" x14ac:dyDescent="0.25">
      <c r="A28" s="28"/>
      <c r="B28" s="11" t="str">
        <f>CONCATENATE("          ", "6351", " - ", "EQUIPMENT RENTAL")</f>
        <v xml:space="preserve">          6351 - EQUIPMENT RENTAL</v>
      </c>
      <c r="C28" s="11"/>
      <c r="D28" s="7"/>
      <c r="E28" s="2"/>
      <c r="F28" s="6">
        <f t="shared" si="16"/>
        <v>0</v>
      </c>
      <c r="G28" s="2"/>
      <c r="H28" s="7"/>
      <c r="I28" s="2"/>
      <c r="J28" s="6">
        <f t="shared" si="17"/>
        <v>0</v>
      </c>
      <c r="K28" s="2"/>
      <c r="L28" s="7">
        <f t="shared" si="18"/>
        <v>0</v>
      </c>
      <c r="M28" s="2"/>
      <c r="N28" s="6">
        <f t="shared" si="19"/>
        <v>0</v>
      </c>
      <c r="O28" s="11"/>
      <c r="P28" s="7"/>
      <c r="Q28" s="2"/>
      <c r="R28" s="6">
        <f t="shared" si="20"/>
        <v>0</v>
      </c>
      <c r="S28" s="2"/>
      <c r="T28" s="7">
        <v>0</v>
      </c>
      <c r="U28" s="2"/>
      <c r="V28" s="6">
        <f t="shared" si="21"/>
        <v>0</v>
      </c>
      <c r="W28" s="2"/>
      <c r="X28" s="7">
        <f t="shared" si="22"/>
        <v>0</v>
      </c>
      <c r="Y28" s="2"/>
      <c r="Z28" s="6">
        <f t="shared" si="23"/>
        <v>0</v>
      </c>
    </row>
    <row r="29" spans="1:26" s="27" customFormat="1" outlineLevel="1" collapsed="1" x14ac:dyDescent="0.25">
      <c r="A29" s="29"/>
      <c r="B29" s="14" t="str">
        <f>CONCATENATE("     ","Freight out/Postage                               ")</f>
        <v xml:space="preserve">     Freight out/Postage                               </v>
      </c>
      <c r="C29" s="14"/>
      <c r="D29" s="1">
        <f>SUM(OSRRefD22_3x_0)</f>
        <v>0</v>
      </c>
      <c r="E29" s="1"/>
      <c r="F29" s="5">
        <f t="shared" si="16"/>
        <v>0</v>
      </c>
      <c r="G29" s="1"/>
      <c r="H29" s="1">
        <f>SUM(OSRRefH22_3x_0)</f>
        <v>0</v>
      </c>
      <c r="I29" s="1"/>
      <c r="J29" s="5">
        <f t="shared" si="17"/>
        <v>0</v>
      </c>
      <c r="K29" s="1"/>
      <c r="L29" s="1">
        <f t="shared" si="18"/>
        <v>0</v>
      </c>
      <c r="M29" s="1"/>
      <c r="N29" s="5">
        <f t="shared" si="19"/>
        <v>0</v>
      </c>
      <c r="O29" s="14"/>
      <c r="P29" s="1">
        <f>SUM(OSRRefP22_3x_0)</f>
        <v>0</v>
      </c>
      <c r="Q29" s="1"/>
      <c r="R29" s="5">
        <f t="shared" si="20"/>
        <v>0</v>
      </c>
      <c r="S29" s="1"/>
      <c r="T29" s="1">
        <f>SUM(OSRRefT22_3x_0)</f>
        <v>0</v>
      </c>
      <c r="U29" s="1"/>
      <c r="V29" s="5">
        <f t="shared" si="21"/>
        <v>0</v>
      </c>
      <c r="W29" s="1"/>
      <c r="X29" s="1">
        <f t="shared" si="22"/>
        <v>0</v>
      </c>
      <c r="Y29" s="1"/>
      <c r="Z29" s="5">
        <f t="shared" si="23"/>
        <v>0</v>
      </c>
    </row>
    <row r="30" spans="1:26" s="24" customFormat="1" hidden="1" outlineLevel="2" x14ac:dyDescent="0.25">
      <c r="A30" s="28"/>
      <c r="B30" s="11" t="str">
        <f>CONCATENATE("          ", "6307", " - ", "POSTAGE")</f>
        <v xml:space="preserve">          6307 - POSTAGE</v>
      </c>
      <c r="C30" s="11"/>
      <c r="D30" s="7"/>
      <c r="E30" s="2"/>
      <c r="F30" s="6">
        <f t="shared" si="16"/>
        <v>0</v>
      </c>
      <c r="G30" s="2"/>
      <c r="H30" s="7"/>
      <c r="I30" s="2"/>
      <c r="J30" s="6">
        <f t="shared" si="17"/>
        <v>0</v>
      </c>
      <c r="K30" s="2"/>
      <c r="L30" s="7">
        <f t="shared" si="18"/>
        <v>0</v>
      </c>
      <c r="M30" s="2"/>
      <c r="N30" s="6">
        <f t="shared" si="19"/>
        <v>0</v>
      </c>
      <c r="O30" s="11"/>
      <c r="P30" s="7"/>
      <c r="Q30" s="2"/>
      <c r="R30" s="6">
        <f t="shared" si="20"/>
        <v>0</v>
      </c>
      <c r="S30" s="2"/>
      <c r="T30" s="7">
        <v>0</v>
      </c>
      <c r="U30" s="2"/>
      <c r="V30" s="6">
        <f t="shared" si="21"/>
        <v>0</v>
      </c>
      <c r="W30" s="2"/>
      <c r="X30" s="7">
        <f t="shared" si="22"/>
        <v>0</v>
      </c>
      <c r="Y30" s="2"/>
      <c r="Z30" s="6">
        <f t="shared" si="23"/>
        <v>0</v>
      </c>
    </row>
    <row r="31" spans="1:26" s="27" customFormat="1" outlineLevel="1" collapsed="1" x14ac:dyDescent="0.25">
      <c r="A31" s="29"/>
      <c r="B31" s="14" t="str">
        <f>CONCATENATE("     ","Repair and Maintenance                            ")</f>
        <v xml:space="preserve">     Repair and Maintenance                            </v>
      </c>
      <c r="C31" s="14"/>
      <c r="D31" s="1">
        <f>SUM(OSRRefD22_4x_0)</f>
        <v>0</v>
      </c>
      <c r="E31" s="1"/>
      <c r="F31" s="5">
        <f t="shared" si="16"/>
        <v>0</v>
      </c>
      <c r="G31" s="1"/>
      <c r="H31" s="1">
        <f>SUM(OSRRefH22_4x_0)</f>
        <v>0</v>
      </c>
      <c r="I31" s="1"/>
      <c r="J31" s="5">
        <f t="shared" si="17"/>
        <v>0</v>
      </c>
      <c r="K31" s="1"/>
      <c r="L31" s="1">
        <f t="shared" si="18"/>
        <v>0</v>
      </c>
      <c r="M31" s="1"/>
      <c r="N31" s="5">
        <f t="shared" si="19"/>
        <v>0</v>
      </c>
      <c r="O31" s="14"/>
      <c r="P31" s="1">
        <f>SUM(OSRRefP22_4x_0)</f>
        <v>0</v>
      </c>
      <c r="Q31" s="1"/>
      <c r="R31" s="5">
        <f t="shared" si="20"/>
        <v>0</v>
      </c>
      <c r="S31" s="1"/>
      <c r="T31" s="1">
        <f>SUM(OSRRefT22_4x_0)</f>
        <v>0</v>
      </c>
      <c r="U31" s="1"/>
      <c r="V31" s="5">
        <f t="shared" si="21"/>
        <v>0</v>
      </c>
      <c r="W31" s="1"/>
      <c r="X31" s="1">
        <f t="shared" si="22"/>
        <v>0</v>
      </c>
      <c r="Y31" s="1"/>
      <c r="Z31" s="5">
        <f t="shared" si="23"/>
        <v>0</v>
      </c>
    </row>
    <row r="32" spans="1:26" s="24" customFormat="1" hidden="1" outlineLevel="2" x14ac:dyDescent="0.25">
      <c r="A32" s="28"/>
      <c r="B32" s="11" t="str">
        <f>CONCATENATE("          ", "6373", " - ", "MAINTENANCE CONTRACTS")</f>
        <v xml:space="preserve">          6373 - MAINTENANCE CONTRACTS</v>
      </c>
      <c r="C32" s="11"/>
      <c r="D32" s="7"/>
      <c r="E32" s="2"/>
      <c r="F32" s="6">
        <f t="shared" si="16"/>
        <v>0</v>
      </c>
      <c r="G32" s="2"/>
      <c r="H32" s="7">
        <v>0</v>
      </c>
      <c r="I32" s="2"/>
      <c r="J32" s="6">
        <f t="shared" si="17"/>
        <v>0</v>
      </c>
      <c r="K32" s="2"/>
      <c r="L32" s="7">
        <f t="shared" si="18"/>
        <v>0</v>
      </c>
      <c r="M32" s="2"/>
      <c r="N32" s="6">
        <f t="shared" si="19"/>
        <v>0</v>
      </c>
      <c r="O32" s="11"/>
      <c r="P32" s="7"/>
      <c r="Q32" s="2"/>
      <c r="R32" s="6">
        <f t="shared" si="20"/>
        <v>0</v>
      </c>
      <c r="S32" s="2"/>
      <c r="T32" s="7">
        <v>0</v>
      </c>
      <c r="U32" s="2"/>
      <c r="V32" s="6">
        <f t="shared" si="21"/>
        <v>0</v>
      </c>
      <c r="W32" s="2"/>
      <c r="X32" s="7">
        <f t="shared" si="22"/>
        <v>0</v>
      </c>
      <c r="Y32" s="2"/>
      <c r="Z32" s="6">
        <f t="shared" si="23"/>
        <v>0</v>
      </c>
    </row>
    <row r="33" spans="1:26" s="27" customFormat="1" outlineLevel="1" collapsed="1" x14ac:dyDescent="0.25">
      <c r="A33" s="29"/>
      <c r="B33" s="14" t="str">
        <f>CONCATENATE("     ","Telephone/Data Lines                              ")</f>
        <v xml:space="preserve">     Telephone/Data Lines                              </v>
      </c>
      <c r="C33" s="14"/>
      <c r="D33" s="1">
        <f>SUM(OSRRefD22_5x_0)</f>
        <v>0</v>
      </c>
      <c r="E33" s="1"/>
      <c r="F33" s="5">
        <f t="shared" si="16"/>
        <v>0</v>
      </c>
      <c r="G33" s="1"/>
      <c r="H33" s="1">
        <f>SUM(OSRRefH22_5x_0)</f>
        <v>0</v>
      </c>
      <c r="I33" s="1"/>
      <c r="J33" s="5">
        <f t="shared" si="17"/>
        <v>0</v>
      </c>
      <c r="K33" s="1"/>
      <c r="L33" s="1">
        <f t="shared" si="18"/>
        <v>0</v>
      </c>
      <c r="M33" s="1"/>
      <c r="N33" s="5">
        <f t="shared" si="19"/>
        <v>0</v>
      </c>
      <c r="O33" s="14"/>
      <c r="P33" s="1">
        <f>SUM(OSRRefP22_5x_0)</f>
        <v>0</v>
      </c>
      <c r="Q33" s="1"/>
      <c r="R33" s="5">
        <f t="shared" si="20"/>
        <v>0</v>
      </c>
      <c r="S33" s="1"/>
      <c r="T33" s="1">
        <f>SUM(OSRRefT22_5x_0)</f>
        <v>0</v>
      </c>
      <c r="U33" s="1"/>
      <c r="V33" s="5">
        <f t="shared" si="21"/>
        <v>0</v>
      </c>
      <c r="W33" s="1"/>
      <c r="X33" s="1">
        <f t="shared" si="22"/>
        <v>0</v>
      </c>
      <c r="Y33" s="1"/>
      <c r="Z33" s="5">
        <f t="shared" si="23"/>
        <v>0</v>
      </c>
    </row>
    <row r="34" spans="1:26" s="24" customFormat="1" hidden="1" outlineLevel="2" x14ac:dyDescent="0.25">
      <c r="A34" s="28"/>
      <c r="B34" s="11" t="str">
        <f>CONCATENATE("          ", "6309", " - ", "TELEPHONE")</f>
        <v xml:space="preserve">          6309 - TELEPHONE</v>
      </c>
      <c r="C34" s="11"/>
      <c r="D34" s="7"/>
      <c r="E34" s="2"/>
      <c r="F34" s="6">
        <f t="shared" si="16"/>
        <v>0</v>
      </c>
      <c r="G34" s="2"/>
      <c r="H34" s="7"/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/>
      <c r="Q34" s="2"/>
      <c r="R34" s="6">
        <f t="shared" si="20"/>
        <v>0</v>
      </c>
      <c r="S34" s="2"/>
      <c r="T34" s="7">
        <v>0</v>
      </c>
      <c r="U34" s="2"/>
      <c r="V34" s="6">
        <f t="shared" si="21"/>
        <v>0</v>
      </c>
      <c r="W34" s="2"/>
      <c r="X34" s="7">
        <f t="shared" si="22"/>
        <v>0</v>
      </c>
      <c r="Y34" s="2"/>
      <c r="Z34" s="6">
        <f t="shared" si="23"/>
        <v>0</v>
      </c>
    </row>
    <row r="35" spans="1:26" s="54" customFormat="1" x14ac:dyDescent="0.25">
      <c r="A35" s="37"/>
      <c r="B35" s="37"/>
      <c r="C35" s="37"/>
      <c r="D35" s="1"/>
      <c r="E35" s="1"/>
      <c r="F35" s="5"/>
      <c r="G35" s="1"/>
      <c r="H35" s="1"/>
      <c r="I35" s="1"/>
      <c r="J35" s="5"/>
      <c r="K35" s="1"/>
      <c r="L35" s="1"/>
      <c r="M35" s="1"/>
      <c r="N35" s="5"/>
      <c r="O35" s="37"/>
      <c r="P35" s="1"/>
      <c r="Q35" s="1"/>
      <c r="R35" s="5"/>
      <c r="S35" s="1"/>
      <c r="T35" s="1"/>
      <c r="U35" s="1"/>
      <c r="V35" s="5"/>
      <c r="W35" s="1"/>
      <c r="X35" s="1"/>
      <c r="Y35" s="1"/>
      <c r="Z35" s="5"/>
    </row>
    <row r="36" spans="1:26" s="23" customFormat="1" x14ac:dyDescent="0.25">
      <c r="A36" s="10"/>
      <c r="B36" s="26" t="s">
        <v>292</v>
      </c>
      <c r="C36" s="10"/>
      <c r="D36" s="4">
        <f>SUM(0)</f>
        <v>0</v>
      </c>
      <c r="E36" s="4"/>
      <c r="F36" s="12">
        <f>IF(D$12=0,0,D36/D$12)</f>
        <v>0</v>
      </c>
      <c r="G36" s="4"/>
      <c r="H36" s="4">
        <f>SUM(0)</f>
        <v>0</v>
      </c>
      <c r="I36" s="4"/>
      <c r="J36" s="12">
        <f>IF(H$12=0,0,H36/H$12)</f>
        <v>0</v>
      </c>
      <c r="K36" s="4"/>
      <c r="L36" s="4">
        <f>+D36-H36</f>
        <v>0</v>
      </c>
      <c r="M36" s="4"/>
      <c r="N36" s="12">
        <f>IF(H36=0,0,L36/H36)</f>
        <v>0</v>
      </c>
      <c r="O36" s="10"/>
      <c r="P36" s="4">
        <f>SUM(0)</f>
        <v>0</v>
      </c>
      <c r="Q36" s="4"/>
      <c r="R36" s="12">
        <f>IF(P$12=0,0,P36/P$12)</f>
        <v>0</v>
      </c>
      <c r="S36" s="4"/>
      <c r="T36" s="4">
        <f>SUM(0)</f>
        <v>0</v>
      </c>
      <c r="U36" s="4"/>
      <c r="V36" s="12">
        <f>IF(T$12=0,0,T36/T$12)</f>
        <v>0</v>
      </c>
      <c r="W36" s="4"/>
      <c r="X36" s="4">
        <f>+P36-T36</f>
        <v>0</v>
      </c>
      <c r="Y36" s="4"/>
      <c r="Z36" s="12">
        <f>IF(T36=0,0,X36/T36)</f>
        <v>0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10"/>
      <c r="B38" s="25" t="s">
        <v>276</v>
      </c>
      <c r="C38" s="25"/>
      <c r="D38" s="21">
        <f>+D16-D18+D36</f>
        <v>0</v>
      </c>
      <c r="E38" s="13"/>
      <c r="F38" s="22">
        <f>IF(D$12=0,0,D38/D$12)</f>
        <v>0</v>
      </c>
      <c r="G38" s="13"/>
      <c r="H38" s="21">
        <f>+H16-H18+H36</f>
        <v>0</v>
      </c>
      <c r="I38" s="13"/>
      <c r="J38" s="22">
        <f>IF(H$12=0,0,H38/H$12)</f>
        <v>0</v>
      </c>
      <c r="K38" s="16"/>
      <c r="L38" s="21">
        <f>+D38-H38</f>
        <v>0</v>
      </c>
      <c r="M38" s="16"/>
      <c r="N38" s="22">
        <f>IF(H38=0,0,L38/H38)</f>
        <v>0</v>
      </c>
      <c r="O38" s="26"/>
      <c r="P38" s="21">
        <f>+P16-P18+P36</f>
        <v>0</v>
      </c>
      <c r="Q38" s="13"/>
      <c r="R38" s="22">
        <f>IF(P$12=0,0,P38/P$12)</f>
        <v>0</v>
      </c>
      <c r="S38" s="13"/>
      <c r="T38" s="21">
        <f>+T16-T18+T36</f>
        <v>-0.23</v>
      </c>
      <c r="U38" s="13"/>
      <c r="V38" s="22">
        <f>IF(T$12=0,0,T38/T$12)</f>
        <v>0</v>
      </c>
      <c r="W38" s="16"/>
      <c r="X38" s="21">
        <f>+P38-T38</f>
        <v>0.23</v>
      </c>
      <c r="Y38" s="16"/>
      <c r="Z38" s="22">
        <f>IF(T38=0,0,X38/T38)</f>
        <v>-1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25">
      <c r="A40" s="51"/>
      <c r="B40" s="10" t="s">
        <v>127</v>
      </c>
      <c r="C40" s="10"/>
      <c r="D40" s="4"/>
      <c r="E40" s="4"/>
      <c r="F40" s="12">
        <f>IF(D$12=0,0,D40/D$12)</f>
        <v>0</v>
      </c>
      <c r="G40" s="4"/>
      <c r="H40" s="4"/>
      <c r="I40" s="4"/>
      <c r="J40" s="12">
        <f>IF(H$12=0,0,H40/H$12)</f>
        <v>0</v>
      </c>
      <c r="K40" s="4"/>
      <c r="L40" s="4">
        <f>+D40-H40</f>
        <v>0</v>
      </c>
      <c r="M40" s="4"/>
      <c r="N40" s="12">
        <f>IF(H40=0,0,L40/H40)</f>
        <v>0</v>
      </c>
      <c r="O40" s="10"/>
      <c r="P40" s="4"/>
      <c r="Q40" s="4"/>
      <c r="R40" s="12">
        <f>IF(P$12=0,0,P40/P$12)</f>
        <v>0</v>
      </c>
      <c r="S40" s="4"/>
      <c r="T40" s="4"/>
      <c r="U40" s="4"/>
      <c r="V40" s="12">
        <f>IF(T$12=0,0,T40/T$12)</f>
        <v>0</v>
      </c>
      <c r="W40" s="4"/>
      <c r="X40" s="4">
        <f>+P40-T40</f>
        <v>0</v>
      </c>
      <c r="Y40" s="4"/>
      <c r="Z40" s="12">
        <f>IF(T40=0,0,X40/T40)</f>
        <v>0</v>
      </c>
    </row>
    <row r="41" spans="1:26" x14ac:dyDescent="0.25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.75" thickBot="1" x14ac:dyDescent="0.3">
      <c r="A42" s="10"/>
      <c r="B42" s="25" t="s">
        <v>125</v>
      </c>
      <c r="C42" s="25"/>
      <c r="D42" s="33">
        <f>+D38-D40</f>
        <v>0</v>
      </c>
      <c r="E42" s="13"/>
      <c r="F42" s="35">
        <f>IF(D$12=0,0,D42/D$12)</f>
        <v>0</v>
      </c>
      <c r="G42" s="13"/>
      <c r="H42" s="33">
        <f>+H38-H40</f>
        <v>0</v>
      </c>
      <c r="I42" s="13"/>
      <c r="J42" s="35">
        <f>IF(H$12=0,0,H42/H$12)</f>
        <v>0</v>
      </c>
      <c r="K42" s="16"/>
      <c r="L42" s="33">
        <f>D42-H42</f>
        <v>0</v>
      </c>
      <c r="M42" s="16"/>
      <c r="N42" s="35">
        <f>IF(H42=0,0,L42/H42)</f>
        <v>0</v>
      </c>
      <c r="O42" s="26"/>
      <c r="P42" s="33">
        <f>+P38-P40</f>
        <v>0</v>
      </c>
      <c r="Q42" s="13"/>
      <c r="R42" s="35">
        <f>IF(P$12=0,0,P42/P$12)</f>
        <v>0</v>
      </c>
      <c r="S42" s="13"/>
      <c r="T42" s="33">
        <f>+T38-T40</f>
        <v>-0.23</v>
      </c>
      <c r="U42" s="13"/>
      <c r="V42" s="35">
        <f>IF(T$12=0,0,T42/T$12)</f>
        <v>0</v>
      </c>
      <c r="W42" s="16"/>
      <c r="X42" s="33">
        <f>P42-T42</f>
        <v>0.23</v>
      </c>
      <c r="Y42" s="16"/>
      <c r="Z42" s="35">
        <f>IF(T42=0,0,X42/T42)</f>
        <v>-1</v>
      </c>
    </row>
    <row r="43" spans="1:26" ht="15.75" thickTop="1" x14ac:dyDescent="0.25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x14ac:dyDescent="0.25">
      <c r="A44" s="9"/>
      <c r="B44" s="9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ht="15.75" thickBot="1" x14ac:dyDescent="0.3">
      <c r="A45" s="10"/>
      <c r="B45" s="25" t="s">
        <v>293</v>
      </c>
      <c r="C45" s="25"/>
      <c r="D45" s="31">
        <f>SUM(D42:D44)</f>
        <v>0</v>
      </c>
      <c r="E45" s="13"/>
      <c r="F45" s="32">
        <f>IF(D$12=0,0,D45/D$12)</f>
        <v>0</v>
      </c>
      <c r="G45" s="13"/>
      <c r="H45" s="31">
        <f>SUM(H42:H44)</f>
        <v>0</v>
      </c>
      <c r="I45" s="13"/>
      <c r="J45" s="32">
        <f>IF(H$12=0,0,H45/H$12)</f>
        <v>0</v>
      </c>
      <c r="K45" s="16"/>
      <c r="L45" s="31">
        <f>+D45-H45</f>
        <v>0</v>
      </c>
      <c r="M45" s="16"/>
      <c r="N45" s="32">
        <f>IF(H45=0,0,L45/H45)</f>
        <v>0</v>
      </c>
      <c r="O45" s="26"/>
      <c r="P45" s="31">
        <f>SUM(P42:P44)</f>
        <v>0</v>
      </c>
      <c r="Q45" s="13"/>
      <c r="R45" s="32">
        <f>IF(P$12=0,0,P45/P$12)</f>
        <v>0</v>
      </c>
      <c r="S45" s="13"/>
      <c r="T45" s="31">
        <f>SUM(T42:T44)</f>
        <v>-0.23</v>
      </c>
      <c r="U45" s="13"/>
      <c r="V45" s="32">
        <f>IF(T$12=0,0,T45/T$12)</f>
        <v>0</v>
      </c>
      <c r="W45" s="16"/>
      <c r="X45" s="31">
        <f>+P45-T45</f>
        <v>0.23</v>
      </c>
      <c r="Y45" s="16"/>
      <c r="Z45" s="32">
        <f>IF(T45=0,0,X45/T45)</f>
        <v>-1</v>
      </c>
    </row>
    <row r="46" spans="1:26" ht="15.75" thickTop="1" x14ac:dyDescent="0.25">
      <c r="A46" s="9"/>
      <c r="C46" s="9"/>
      <c r="D46" s="18"/>
      <c r="E46" s="18"/>
      <c r="G46" s="18"/>
      <c r="H46" s="18"/>
      <c r="I46" s="18"/>
      <c r="J46" s="42"/>
      <c r="K46" s="18"/>
      <c r="L46" s="18"/>
      <c r="M46" s="18"/>
      <c r="P46" s="18"/>
      <c r="Q46" s="18"/>
      <c r="R46" s="42"/>
      <c r="S46" s="18"/>
      <c r="T46" s="18"/>
      <c r="U46" s="18"/>
      <c r="V46" s="42"/>
      <c r="W46" s="18"/>
      <c r="X46" s="18"/>
    </row>
    <row r="47" spans="1:26" x14ac:dyDescent="0.25">
      <c r="A47" s="9"/>
      <c r="B47" s="58">
        <v>44481.985668518515</v>
      </c>
      <c r="D47" s="18"/>
      <c r="E47" s="18"/>
      <c r="G47" s="18"/>
      <c r="H47" s="18"/>
      <c r="I47" s="18"/>
      <c r="J47" s="42"/>
      <c r="K47" s="18"/>
      <c r="L47" s="18"/>
      <c r="M47" s="18"/>
      <c r="P47" s="18"/>
      <c r="Q47" s="18"/>
      <c r="R47" s="42"/>
      <c r="S47" s="18"/>
      <c r="T47" s="18"/>
      <c r="U47" s="18"/>
      <c r="V47" s="42"/>
      <c r="W47" s="18"/>
      <c r="X47" s="18"/>
    </row>
    <row r="48" spans="1:26" x14ac:dyDescent="0.25">
      <c r="A48" s="9"/>
      <c r="B48" s="53" t="s">
        <v>56</v>
      </c>
      <c r="D48" s="18"/>
      <c r="E48" s="18"/>
      <c r="G48" s="18"/>
      <c r="H48" s="18"/>
      <c r="I48" s="18"/>
      <c r="J48" s="42"/>
      <c r="K48" s="18"/>
      <c r="L48" s="18"/>
      <c r="M48" s="18"/>
      <c r="P48" s="18"/>
      <c r="Q48" s="18"/>
      <c r="R48" s="42"/>
      <c r="S48" s="18"/>
      <c r="T48" s="18"/>
      <c r="U48" s="18"/>
      <c r="V48" s="42"/>
      <c r="W48" s="18"/>
      <c r="X48" s="18"/>
    </row>
    <row r="49" spans="1:24" x14ac:dyDescent="0.25">
      <c r="A49" s="9"/>
      <c r="B49" s="52"/>
      <c r="D49" s="18"/>
      <c r="E49" s="18"/>
      <c r="G49" s="18"/>
      <c r="H49" s="18"/>
      <c r="I49" s="18"/>
      <c r="J49" s="42"/>
      <c r="K49" s="18"/>
      <c r="L49" s="18"/>
      <c r="M49" s="18"/>
      <c r="P49" s="18"/>
      <c r="Q49" s="18"/>
      <c r="R49" s="42"/>
      <c r="S49" s="18"/>
      <c r="T49" s="18"/>
      <c r="U49" s="18"/>
      <c r="V49" s="42"/>
      <c r="W49" s="18"/>
      <c r="X49" s="18"/>
    </row>
    <row r="50" spans="1:24" x14ac:dyDescent="0.25">
      <c r="D50" s="18"/>
      <c r="E50" s="18"/>
      <c r="G50" s="18"/>
      <c r="H50" s="18"/>
      <c r="I50" s="18"/>
      <c r="J50" s="42"/>
      <c r="K50" s="18"/>
      <c r="L50" s="18"/>
      <c r="M50" s="18"/>
      <c r="P50" s="18"/>
      <c r="Q50" s="18"/>
      <c r="R50" s="42"/>
      <c r="S50" s="18"/>
      <c r="T50" s="18"/>
      <c r="U50" s="18"/>
      <c r="V50" s="42"/>
      <c r="W50" s="18"/>
      <c r="X50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</sheetPr>
  <dimension ref="A2:Z9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80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25660.770000000004</v>
      </c>
      <c r="E12" s="4"/>
      <c r="F12" s="12"/>
      <c r="G12" s="4"/>
      <c r="H12" s="4">
        <f>SUM(OSRRefH13x_0)</f>
        <v>8896.08</v>
      </c>
      <c r="I12" s="4"/>
      <c r="J12" s="12"/>
      <c r="K12" s="4"/>
      <c r="L12" s="4">
        <f t="shared" ref="L12:L27" si="0">+D12-H12</f>
        <v>16764.690000000002</v>
      </c>
      <c r="M12" s="4"/>
      <c r="N12" s="12">
        <f t="shared" ref="N12:N27" si="1">IF(H12=0,0,L12/H12)</f>
        <v>1.8845030620228238</v>
      </c>
      <c r="O12" s="10"/>
      <c r="P12" s="4">
        <f>SUM(OSRRefP13x_0)</f>
        <v>42175.310000000005</v>
      </c>
      <c r="Q12" s="4"/>
      <c r="R12" s="12"/>
      <c r="S12" s="4"/>
      <c r="T12" s="4">
        <f>SUM(OSRRefT13x_0)</f>
        <v>21294.02</v>
      </c>
      <c r="U12" s="4"/>
      <c r="V12" s="12"/>
      <c r="W12" s="4"/>
      <c r="X12" s="4">
        <f t="shared" ref="X12:X27" si="2">+P12-T12</f>
        <v>20881.290000000005</v>
      </c>
      <c r="Y12" s="4"/>
      <c r="Z12" s="12">
        <f t="shared" ref="Z12:Z27" si="3">IF(T12=0,0,X12/T12)</f>
        <v>0.98061756305291359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--19683.79</f>
        <v>19683.79</v>
      </c>
      <c r="E13" s="2"/>
      <c r="F13" s="19"/>
      <c r="G13" s="2"/>
      <c r="H13" s="2">
        <f>-25.17</f>
        <v>-25.17</v>
      </c>
      <c r="I13" s="2"/>
      <c r="J13" s="19"/>
      <c r="K13" s="2"/>
      <c r="L13" s="2">
        <f t="shared" si="0"/>
        <v>19708.96</v>
      </c>
      <c r="M13" s="2"/>
      <c r="N13" s="19">
        <f t="shared" si="1"/>
        <v>-783.03377036154143</v>
      </c>
      <c r="O13" s="11"/>
      <c r="P13" s="2">
        <f>--34836.37</f>
        <v>34836.370000000003</v>
      </c>
      <c r="Q13" s="2"/>
      <c r="R13" s="19"/>
      <c r="S13" s="2"/>
      <c r="T13" s="2">
        <f>-1094.7</f>
        <v>-1094.7</v>
      </c>
      <c r="U13" s="2"/>
      <c r="V13" s="19"/>
      <c r="W13" s="2"/>
      <c r="X13" s="2">
        <f t="shared" si="2"/>
        <v>35931.07</v>
      </c>
      <c r="Y13" s="2"/>
      <c r="Z13" s="19">
        <f t="shared" si="3"/>
        <v>-32.822755092719461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19" si="4">0</f>
        <v>0</v>
      </c>
      <c r="E14" s="2"/>
      <c r="F14" s="19"/>
      <c r="G14" s="2"/>
      <c r="H14" s="2">
        <f>--17.51</f>
        <v>17.510000000000002</v>
      </c>
      <c r="I14" s="2"/>
      <c r="J14" s="19"/>
      <c r="K14" s="2"/>
      <c r="L14" s="2">
        <f t="shared" si="0"/>
        <v>-17.510000000000002</v>
      </c>
      <c r="M14" s="2"/>
      <c r="N14" s="19">
        <f t="shared" si="1"/>
        <v>-1</v>
      </c>
      <c r="O14" s="11"/>
      <c r="P14" s="2">
        <f t="shared" ref="P14:P19" si="5">0</f>
        <v>0</v>
      </c>
      <c r="Q14" s="2"/>
      <c r="R14" s="19"/>
      <c r="S14" s="2"/>
      <c r="T14" s="2">
        <f>--17.51</f>
        <v>17.510000000000002</v>
      </c>
      <c r="U14" s="2"/>
      <c r="V14" s="19"/>
      <c r="W14" s="2"/>
      <c r="X14" s="2">
        <f t="shared" si="2"/>
        <v>-17.510000000000002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--4601.45</f>
        <v>4601.45</v>
      </c>
      <c r="I15" s="2"/>
      <c r="J15" s="19"/>
      <c r="K15" s="2"/>
      <c r="L15" s="2">
        <f t="shared" si="0"/>
        <v>-4601.45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--7990.32</f>
        <v>7990.32</v>
      </c>
      <c r="U15" s="2"/>
      <c r="V15" s="19"/>
      <c r="W15" s="2"/>
      <c r="X15" s="2">
        <f t="shared" si="2"/>
        <v>-7990.32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--2807.8</f>
        <v>2807.8</v>
      </c>
      <c r="I16" s="2"/>
      <c r="J16" s="19"/>
      <c r="K16" s="2"/>
      <c r="L16" s="2">
        <f t="shared" si="0"/>
        <v>-2807.8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--12479.05</f>
        <v>12479.05</v>
      </c>
      <c r="U16" s="2"/>
      <c r="V16" s="19"/>
      <c r="W16" s="2"/>
      <c r="X16" s="2">
        <f t="shared" si="2"/>
        <v>-12479.05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--244.33</f>
        <v>244.33</v>
      </c>
      <c r="I17" s="2"/>
      <c r="J17" s="19"/>
      <c r="K17" s="2"/>
      <c r="L17" s="2">
        <f t="shared" si="0"/>
        <v>-244.33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--369.37</f>
        <v>369.37</v>
      </c>
      <c r="U17" s="2"/>
      <c r="V17" s="19"/>
      <c r="W17" s="2"/>
      <c r="X17" s="2">
        <f t="shared" si="2"/>
        <v>-369.37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19"/>
      <c r="G18" s="2"/>
      <c r="H18" s="2">
        <f>--71.95</f>
        <v>71.95</v>
      </c>
      <c r="I18" s="2"/>
      <c r="J18" s="19"/>
      <c r="K18" s="2"/>
      <c r="L18" s="2">
        <f t="shared" si="0"/>
        <v>-71.95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--71.95</f>
        <v>71.95</v>
      </c>
      <c r="U18" s="2"/>
      <c r="V18" s="19"/>
      <c r="W18" s="2"/>
      <c r="X18" s="2">
        <f t="shared" si="2"/>
        <v>-71.95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19"/>
      <c r="G19" s="2"/>
      <c r="H19" s="2">
        <f>--9.99</f>
        <v>9.99</v>
      </c>
      <c r="I19" s="2"/>
      <c r="J19" s="19"/>
      <c r="K19" s="2"/>
      <c r="L19" s="2">
        <f t="shared" si="0"/>
        <v>-9.99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--9.99</f>
        <v>9.99</v>
      </c>
      <c r="U19" s="2"/>
      <c r="V19" s="19"/>
      <c r="W19" s="2"/>
      <c r="X19" s="2">
        <f t="shared" si="2"/>
        <v>-9.99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>--6374.4</f>
        <v>6374.4</v>
      </c>
      <c r="E20" s="2"/>
      <c r="F20" s="19"/>
      <c r="G20" s="2"/>
      <c r="H20" s="2">
        <f t="shared" ref="H20:H21" si="6">0</f>
        <v>0</v>
      </c>
      <c r="I20" s="2"/>
      <c r="J20" s="19"/>
      <c r="K20" s="2"/>
      <c r="L20" s="2">
        <f t="shared" si="0"/>
        <v>6374.4</v>
      </c>
      <c r="M20" s="2"/>
      <c r="N20" s="19">
        <f t="shared" si="1"/>
        <v>0</v>
      </c>
      <c r="O20" s="11"/>
      <c r="P20" s="2">
        <f>--8002.93</f>
        <v>8002.93</v>
      </c>
      <c r="Q20" s="2"/>
      <c r="R20" s="19"/>
      <c r="S20" s="2"/>
      <c r="T20" s="2">
        <f t="shared" ref="T20:T21" si="7">0</f>
        <v>0</v>
      </c>
      <c r="U20" s="2"/>
      <c r="V20" s="19"/>
      <c r="W20" s="2"/>
      <c r="X20" s="2">
        <f t="shared" si="2"/>
        <v>8002.93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 t="shared" ref="D21:D23" si="8">0</f>
        <v>0</v>
      </c>
      <c r="E21" s="2"/>
      <c r="F21" s="19"/>
      <c r="G21" s="2"/>
      <c r="H21" s="2">
        <f t="shared" si="6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3" si="9">0</f>
        <v>0</v>
      </c>
      <c r="Q21" s="2"/>
      <c r="R21" s="19"/>
      <c r="S21" s="2"/>
      <c r="T21" s="2">
        <f t="shared" si="7"/>
        <v>0</v>
      </c>
      <c r="U21" s="2"/>
      <c r="V21" s="19"/>
      <c r="W21" s="2"/>
      <c r="X21" s="2">
        <f t="shared" si="2"/>
        <v>0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"4131", " - ", "NON-TAXABLE SALES-FOOD")</f>
        <v xml:space="preserve">          4131 - NON-TAXABLE SALES-FOOD</v>
      </c>
      <c r="C22" s="11"/>
      <c r="D22" s="2">
        <f t="shared" si="8"/>
        <v>0</v>
      </c>
      <c r="E22" s="2"/>
      <c r="F22" s="19"/>
      <c r="G22" s="2"/>
      <c r="H22" s="2">
        <f>--1245.56</f>
        <v>1245.56</v>
      </c>
      <c r="I22" s="2"/>
      <c r="J22" s="19"/>
      <c r="K22" s="2"/>
      <c r="L22" s="2">
        <f t="shared" si="0"/>
        <v>-1245.56</v>
      </c>
      <c r="M22" s="2"/>
      <c r="N22" s="19">
        <f t="shared" si="1"/>
        <v>-1</v>
      </c>
      <c r="O22" s="11"/>
      <c r="P22" s="2">
        <f t="shared" si="9"/>
        <v>0</v>
      </c>
      <c r="Q22" s="2"/>
      <c r="R22" s="19"/>
      <c r="S22" s="2"/>
      <c r="T22" s="2">
        <f>--1832.7</f>
        <v>1832.7</v>
      </c>
      <c r="U22" s="2"/>
      <c r="V22" s="19"/>
      <c r="W22" s="2"/>
      <c r="X22" s="2">
        <f t="shared" si="2"/>
        <v>-1832.7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"4133", " - ", "NON-TAXABLE SALES-CANDY")</f>
        <v xml:space="preserve">          4133 - NON-TAXABLE SALES-CANDY</v>
      </c>
      <c r="C23" s="11"/>
      <c r="D23" s="2">
        <f t="shared" si="8"/>
        <v>0</v>
      </c>
      <c r="E23" s="2"/>
      <c r="F23" s="19"/>
      <c r="G23" s="2"/>
      <c r="H23" s="2">
        <f t="shared" ref="H23:H25" si="10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si="9"/>
        <v>0</v>
      </c>
      <c r="Q23" s="2"/>
      <c r="R23" s="19"/>
      <c r="S23" s="2"/>
      <c r="T23" s="2">
        <f t="shared" ref="T23:T25" si="11">0</f>
        <v>0</v>
      </c>
      <c r="U23" s="2"/>
      <c r="V23" s="19"/>
      <c r="W23" s="2"/>
      <c r="X23" s="2">
        <f t="shared" si="2"/>
        <v>0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"4200", " - ", "TAXABLE RETURNS")</f>
        <v xml:space="preserve">          4200 - TAXABLE RETURNS</v>
      </c>
      <c r="C24" s="11"/>
      <c r="D24" s="2">
        <f>-397.42</f>
        <v>-397.42</v>
      </c>
      <c r="E24" s="2"/>
      <c r="F24" s="19"/>
      <c r="G24" s="2"/>
      <c r="H24" s="2">
        <f t="shared" si="10"/>
        <v>0</v>
      </c>
      <c r="I24" s="2"/>
      <c r="J24" s="19"/>
      <c r="K24" s="2"/>
      <c r="L24" s="2">
        <f t="shared" si="0"/>
        <v>-397.42</v>
      </c>
      <c r="M24" s="2"/>
      <c r="N24" s="19">
        <f t="shared" si="1"/>
        <v>0</v>
      </c>
      <c r="O24" s="11"/>
      <c r="P24" s="2">
        <f>-663.99</f>
        <v>-663.99</v>
      </c>
      <c r="Q24" s="2"/>
      <c r="R24" s="19"/>
      <c r="S24" s="2"/>
      <c r="T24" s="2">
        <f t="shared" si="11"/>
        <v>0</v>
      </c>
      <c r="U24" s="2"/>
      <c r="V24" s="19"/>
      <c r="W24" s="2"/>
      <c r="X24" s="2">
        <f t="shared" si="2"/>
        <v>-663.99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"4226", " - ", "SALES RETURN TAXABLE-WRITING I")</f>
        <v xml:space="preserve">          4226 - SALES RETURN TAXABLE-WRITING I</v>
      </c>
      <c r="C25" s="11"/>
      <c r="D25" s="2">
        <f t="shared" ref="D25:D27" si="12">0</f>
        <v>0</v>
      </c>
      <c r="E25" s="2"/>
      <c r="F25" s="19"/>
      <c r="G25" s="2"/>
      <c r="H25" s="2">
        <f t="shared" si="10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ref="P25:P27" si="13">0</f>
        <v>0</v>
      </c>
      <c r="Q25" s="2"/>
      <c r="R25" s="19"/>
      <c r="S25" s="2"/>
      <c r="T25" s="2">
        <f t="shared" si="11"/>
        <v>0</v>
      </c>
      <c r="U25" s="2"/>
      <c r="V25" s="19"/>
      <c r="W25" s="2"/>
      <c r="X25" s="2">
        <f t="shared" si="2"/>
        <v>0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"4227", " - ", "SALES RETURN TAXABLE-SCHOOL SU")</f>
        <v xml:space="preserve">          4227 - SALES RETURN TAXABLE-SCHOOL SU</v>
      </c>
      <c r="C26" s="11"/>
      <c r="D26" s="2">
        <f t="shared" si="12"/>
        <v>0</v>
      </c>
      <c r="E26" s="2"/>
      <c r="F26" s="19"/>
      <c r="G26" s="2"/>
      <c r="H26" s="2">
        <f>-19.58</f>
        <v>-19.579999999999998</v>
      </c>
      <c r="I26" s="2"/>
      <c r="J26" s="19"/>
      <c r="K26" s="2"/>
      <c r="L26" s="2">
        <f t="shared" si="0"/>
        <v>19.579999999999998</v>
      </c>
      <c r="M26" s="2"/>
      <c r="N26" s="19">
        <f t="shared" si="1"/>
        <v>-1</v>
      </c>
      <c r="O26" s="11"/>
      <c r="P26" s="2">
        <f t="shared" si="13"/>
        <v>0</v>
      </c>
      <c r="Q26" s="2"/>
      <c r="R26" s="19"/>
      <c r="S26" s="2"/>
      <c r="T26" s="2">
        <f>-159.97</f>
        <v>-159.97</v>
      </c>
      <c r="U26" s="2"/>
      <c r="V26" s="19"/>
      <c r="W26" s="2"/>
      <c r="X26" s="2">
        <f t="shared" si="2"/>
        <v>159.97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"4228", " - ", "SALES RETURN TAXABLE-ART/TECH")</f>
        <v xml:space="preserve">          4228 - SALES RETURN TAXABLE-ART/TECH</v>
      </c>
      <c r="C27" s="11"/>
      <c r="D27" s="2">
        <f t="shared" si="12"/>
        <v>0</v>
      </c>
      <c r="E27" s="2"/>
      <c r="F27" s="19"/>
      <c r="G27" s="2"/>
      <c r="H27" s="2">
        <f>-57.76</f>
        <v>-57.76</v>
      </c>
      <c r="I27" s="2"/>
      <c r="J27" s="19"/>
      <c r="K27" s="2"/>
      <c r="L27" s="2">
        <f t="shared" si="0"/>
        <v>57.76</v>
      </c>
      <c r="M27" s="2"/>
      <c r="N27" s="19">
        <f t="shared" si="1"/>
        <v>-1</v>
      </c>
      <c r="O27" s="11"/>
      <c r="P27" s="2">
        <f t="shared" si="13"/>
        <v>0</v>
      </c>
      <c r="Q27" s="2"/>
      <c r="R27" s="19"/>
      <c r="S27" s="2"/>
      <c r="T27" s="2">
        <f>-222.2</f>
        <v>-222.2</v>
      </c>
      <c r="U27" s="2"/>
      <c r="V27" s="19"/>
      <c r="W27" s="2"/>
      <c r="X27" s="2">
        <f t="shared" si="2"/>
        <v>222.2</v>
      </c>
      <c r="Y27" s="2"/>
      <c r="Z27" s="19">
        <f t="shared" si="3"/>
        <v>-1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collapsed="1" x14ac:dyDescent="0.25">
      <c r="A29" s="10"/>
      <c r="B29" s="26" t="s">
        <v>256</v>
      </c>
      <c r="C29" s="10"/>
      <c r="D29" s="4">
        <f>SUM(OSRRefD16x_0)</f>
        <v>14774.61</v>
      </c>
      <c r="E29" s="4"/>
      <c r="F29" s="12">
        <f t="shared" ref="F29:F39" si="14">IF(D$12=0,0,D29/D$12)</f>
        <v>0.57576643257392501</v>
      </c>
      <c r="G29" s="4"/>
      <c r="H29" s="4">
        <f>SUM(OSRRefH16x_0)</f>
        <v>5140</v>
      </c>
      <c r="I29" s="4"/>
      <c r="J29" s="12">
        <f t="shared" ref="J29:J39" si="15">IF(H$12=0,0,H29/H$12)</f>
        <v>0.5777825738977167</v>
      </c>
      <c r="K29" s="4"/>
      <c r="L29" s="4">
        <f t="shared" ref="L29:L39" si="16">+D29-H29</f>
        <v>9634.61</v>
      </c>
      <c r="M29" s="4"/>
      <c r="N29" s="12">
        <f t="shared" ref="N29:N39" si="17">IF(H29=0,0,L29/H29)</f>
        <v>1.8744377431906616</v>
      </c>
      <c r="O29" s="10"/>
      <c r="P29" s="4">
        <f>SUM(OSRRefP16x_0)</f>
        <v>24460.17</v>
      </c>
      <c r="Q29" s="4"/>
      <c r="R29" s="12">
        <f t="shared" ref="R29:R39" si="18">IF(P$12=0,0,P29/P$12)</f>
        <v>0.57996420180432573</v>
      </c>
      <c r="S29" s="4"/>
      <c r="T29" s="4">
        <f>SUM(OSRRefT16x_0)</f>
        <v>14183.05</v>
      </c>
      <c r="U29" s="4"/>
      <c r="V29" s="12">
        <f t="shared" ref="V29:V39" si="19">IF(T$12=0,0,T29/T$12)</f>
        <v>0.66605788855274861</v>
      </c>
      <c r="W29" s="4"/>
      <c r="X29" s="4">
        <f t="shared" ref="X29:X39" si="20">+P29-T29</f>
        <v>10277.119999999999</v>
      </c>
      <c r="Y29" s="4"/>
      <c r="Z29" s="12">
        <f t="shared" ref="Z29:Z39" si="21">IF(T29=0,0,X29/T29)</f>
        <v>0.7246057794339017</v>
      </c>
    </row>
    <row r="30" spans="1:26" s="24" customFormat="1" hidden="1" outlineLevel="1" x14ac:dyDescent="0.25">
      <c r="A30" s="44"/>
      <c r="B30" s="11" t="str">
        <f>CONCATENATE("          ", "5000", " - ", "PURCHASES @ COST")</f>
        <v xml:space="preserve">          5000 - PURCHASES @ COST</v>
      </c>
      <c r="C30" s="11"/>
      <c r="D30" s="2">
        <v>11537.82</v>
      </c>
      <c r="E30" s="2"/>
      <c r="F30" s="19">
        <f t="shared" si="14"/>
        <v>0.44962875237181105</v>
      </c>
      <c r="G30" s="2"/>
      <c r="H30" s="2"/>
      <c r="I30" s="2"/>
      <c r="J30" s="19">
        <f t="shared" si="15"/>
        <v>0</v>
      </c>
      <c r="K30" s="2"/>
      <c r="L30" s="2">
        <f t="shared" si="16"/>
        <v>11537.82</v>
      </c>
      <c r="M30" s="2"/>
      <c r="N30" s="19">
        <f t="shared" si="17"/>
        <v>0</v>
      </c>
      <c r="O30" s="11"/>
      <c r="P30" s="2">
        <v>25233.11</v>
      </c>
      <c r="Q30" s="2"/>
      <c r="R30" s="19">
        <f t="shared" si="18"/>
        <v>0.59829103805046124</v>
      </c>
      <c r="S30" s="2"/>
      <c r="T30" s="2"/>
      <c r="U30" s="2"/>
      <c r="V30" s="19">
        <f t="shared" si="19"/>
        <v>0</v>
      </c>
      <c r="W30" s="2"/>
      <c r="X30" s="2">
        <f t="shared" si="20"/>
        <v>25233.11</v>
      </c>
      <c r="Y30" s="2"/>
      <c r="Z30" s="19">
        <f t="shared" si="21"/>
        <v>0</v>
      </c>
    </row>
    <row r="31" spans="1:26" s="24" customFormat="1" hidden="1" outlineLevel="1" x14ac:dyDescent="0.25">
      <c r="A31" s="44"/>
      <c r="B31" s="11" t="str">
        <f>CONCATENATE("          ", "5026", " - ", "PURCHASES @ COST-WRITING INSTR")</f>
        <v xml:space="preserve">          5026 - PURCHASES @ COST-WRITING INSTR</v>
      </c>
      <c r="C31" s="11"/>
      <c r="D31" s="2"/>
      <c r="E31" s="2"/>
      <c r="F31" s="19">
        <f t="shared" si="14"/>
        <v>0</v>
      </c>
      <c r="G31" s="2"/>
      <c r="H31" s="2"/>
      <c r="I31" s="2"/>
      <c r="J31" s="19">
        <f t="shared" si="15"/>
        <v>0</v>
      </c>
      <c r="K31" s="2"/>
      <c r="L31" s="2">
        <f t="shared" si="16"/>
        <v>0</v>
      </c>
      <c r="M31" s="2"/>
      <c r="N31" s="19">
        <f t="shared" si="17"/>
        <v>0</v>
      </c>
      <c r="O31" s="11"/>
      <c r="P31" s="2">
        <v>0</v>
      </c>
      <c r="Q31" s="2"/>
      <c r="R31" s="19">
        <f t="shared" si="18"/>
        <v>0</v>
      </c>
      <c r="S31" s="2"/>
      <c r="T31" s="2"/>
      <c r="U31" s="2"/>
      <c r="V31" s="19">
        <f t="shared" si="19"/>
        <v>0</v>
      </c>
      <c r="W31" s="2"/>
      <c r="X31" s="2">
        <f t="shared" si="20"/>
        <v>0</v>
      </c>
      <c r="Y31" s="2"/>
      <c r="Z31" s="19">
        <f t="shared" si="21"/>
        <v>0</v>
      </c>
    </row>
    <row r="32" spans="1:26" s="24" customFormat="1" hidden="1" outlineLevel="1" x14ac:dyDescent="0.25">
      <c r="A32" s="44"/>
      <c r="B32" s="11" t="str">
        <f>CONCATENATE("          ", "5027", " - ", "PURCHASES @ COST-SCHOOL SUPPLI")</f>
        <v xml:space="preserve">          5027 - PURCHASES @ COST-SCHOOL SUPPLI</v>
      </c>
      <c r="C32" s="11"/>
      <c r="D32" s="2"/>
      <c r="E32" s="2"/>
      <c r="F32" s="19">
        <f t="shared" si="14"/>
        <v>0</v>
      </c>
      <c r="G32" s="2"/>
      <c r="H32" s="2"/>
      <c r="I32" s="2"/>
      <c r="J32" s="19">
        <f t="shared" si="15"/>
        <v>0</v>
      </c>
      <c r="K32" s="2"/>
      <c r="L32" s="2">
        <f t="shared" si="16"/>
        <v>0</v>
      </c>
      <c r="M32" s="2"/>
      <c r="N32" s="19">
        <f t="shared" si="17"/>
        <v>0</v>
      </c>
      <c r="O32" s="11"/>
      <c r="P32" s="2">
        <v>0</v>
      </c>
      <c r="Q32" s="2"/>
      <c r="R32" s="19">
        <f t="shared" si="18"/>
        <v>0</v>
      </c>
      <c r="S32" s="2"/>
      <c r="T32" s="2">
        <v>0</v>
      </c>
      <c r="U32" s="2"/>
      <c r="V32" s="19">
        <f t="shared" si="19"/>
        <v>0</v>
      </c>
      <c r="W32" s="2"/>
      <c r="X32" s="2">
        <f t="shared" si="20"/>
        <v>0</v>
      </c>
      <c r="Y32" s="2"/>
      <c r="Z32" s="19">
        <f t="shared" si="21"/>
        <v>0</v>
      </c>
    </row>
    <row r="33" spans="1:26" s="24" customFormat="1" hidden="1" outlineLevel="1" x14ac:dyDescent="0.25">
      <c r="A33" s="44"/>
      <c r="B33" s="11" t="str">
        <f>CONCATENATE("          ", "5028", " - ", "PURCHASES @ COST-ART/TECH")</f>
        <v xml:space="preserve">          5028 - PURCHASES @ COST-ART/TECH</v>
      </c>
      <c r="C33" s="11"/>
      <c r="D33" s="2">
        <v>0</v>
      </c>
      <c r="E33" s="2"/>
      <c r="F33" s="19">
        <f t="shared" si="14"/>
        <v>0</v>
      </c>
      <c r="G33" s="2"/>
      <c r="H33" s="2">
        <v>0</v>
      </c>
      <c r="I33" s="2"/>
      <c r="J33" s="19">
        <f t="shared" si="15"/>
        <v>0</v>
      </c>
      <c r="K33" s="2"/>
      <c r="L33" s="2">
        <f t="shared" si="16"/>
        <v>0</v>
      </c>
      <c r="M33" s="2"/>
      <c r="N33" s="19">
        <f t="shared" si="17"/>
        <v>0</v>
      </c>
      <c r="O33" s="11"/>
      <c r="P33" s="2">
        <v>0</v>
      </c>
      <c r="Q33" s="2"/>
      <c r="R33" s="19">
        <f t="shared" si="18"/>
        <v>0</v>
      </c>
      <c r="S33" s="2"/>
      <c r="T33" s="2">
        <v>0</v>
      </c>
      <c r="U33" s="2"/>
      <c r="V33" s="19">
        <f t="shared" si="19"/>
        <v>0</v>
      </c>
      <c r="W33" s="2"/>
      <c r="X33" s="2">
        <f t="shared" si="20"/>
        <v>0</v>
      </c>
      <c r="Y33" s="2"/>
      <c r="Z33" s="19">
        <f t="shared" si="21"/>
        <v>0</v>
      </c>
    </row>
    <row r="34" spans="1:26" s="24" customFormat="1" hidden="1" outlineLevel="1" x14ac:dyDescent="0.25">
      <c r="A34" s="44"/>
      <c r="B34" s="11" t="str">
        <f>CONCATENATE("          ", "5031", " - ", "PURCHASES @ COST-FOOD")</f>
        <v xml:space="preserve">          5031 - PURCHASES @ COST-FOOD</v>
      </c>
      <c r="C34" s="11"/>
      <c r="D34" s="2">
        <v>0</v>
      </c>
      <c r="E34" s="2"/>
      <c r="F34" s="19">
        <f t="shared" si="14"/>
        <v>0</v>
      </c>
      <c r="G34" s="2"/>
      <c r="H34" s="2">
        <v>2882.41</v>
      </c>
      <c r="I34" s="2"/>
      <c r="J34" s="19">
        <f t="shared" si="15"/>
        <v>0.32400900171761043</v>
      </c>
      <c r="K34" s="2"/>
      <c r="L34" s="2">
        <f t="shared" si="16"/>
        <v>-2882.41</v>
      </c>
      <c r="M34" s="2"/>
      <c r="N34" s="19">
        <f t="shared" si="17"/>
        <v>-1</v>
      </c>
      <c r="O34" s="11"/>
      <c r="P34" s="2">
        <v>0</v>
      </c>
      <c r="Q34" s="2"/>
      <c r="R34" s="19">
        <f t="shared" si="18"/>
        <v>0</v>
      </c>
      <c r="S34" s="2"/>
      <c r="T34" s="2">
        <v>2882.41</v>
      </c>
      <c r="U34" s="2"/>
      <c r="V34" s="19">
        <f t="shared" si="19"/>
        <v>0.13536241630279297</v>
      </c>
      <c r="W34" s="2"/>
      <c r="X34" s="2">
        <f t="shared" si="20"/>
        <v>-2882.41</v>
      </c>
      <c r="Y34" s="2"/>
      <c r="Z34" s="19">
        <f t="shared" si="21"/>
        <v>-1</v>
      </c>
    </row>
    <row r="35" spans="1:26" s="24" customFormat="1" hidden="1" outlineLevel="1" x14ac:dyDescent="0.25">
      <c r="A35" s="44"/>
      <c r="B35" s="11" t="str">
        <f>CONCATENATE("          ", "5042", " - ", "PURCHASES @ COST-EVERYDAY GIFT")</f>
        <v xml:space="preserve">          5042 - PURCHASES @ COST-EVERYDAY GIFT</v>
      </c>
      <c r="C35" s="11"/>
      <c r="D35" s="2"/>
      <c r="E35" s="2"/>
      <c r="F35" s="19">
        <f t="shared" si="14"/>
        <v>0</v>
      </c>
      <c r="G35" s="2"/>
      <c r="H35" s="2"/>
      <c r="I35" s="2"/>
      <c r="J35" s="19">
        <f t="shared" si="15"/>
        <v>0</v>
      </c>
      <c r="K35" s="2"/>
      <c r="L35" s="2">
        <f t="shared" si="16"/>
        <v>0</v>
      </c>
      <c r="M35" s="2"/>
      <c r="N35" s="19">
        <f t="shared" si="17"/>
        <v>0</v>
      </c>
      <c r="O35" s="11"/>
      <c r="P35" s="2">
        <v>0</v>
      </c>
      <c r="Q35" s="2"/>
      <c r="R35" s="19">
        <f t="shared" si="18"/>
        <v>0</v>
      </c>
      <c r="S35" s="2"/>
      <c r="T35" s="2"/>
      <c r="U35" s="2"/>
      <c r="V35" s="19">
        <f t="shared" si="19"/>
        <v>0</v>
      </c>
      <c r="W35" s="2"/>
      <c r="X35" s="2">
        <f t="shared" si="20"/>
        <v>0</v>
      </c>
      <c r="Y35" s="2"/>
      <c r="Z35" s="19">
        <f t="shared" si="21"/>
        <v>0</v>
      </c>
    </row>
    <row r="36" spans="1:26" s="24" customFormat="1" hidden="1" outlineLevel="1" x14ac:dyDescent="0.25">
      <c r="A36" s="44"/>
      <c r="B36" s="11" t="str">
        <f>CONCATENATE("          ", "5200", " - ", "PURCHASES OFFSET")</f>
        <v xml:space="preserve">          5200 - PURCHASES OFFSET</v>
      </c>
      <c r="C36" s="11"/>
      <c r="D36" s="2">
        <v>-11589.14</v>
      </c>
      <c r="E36" s="2"/>
      <c r="F36" s="19">
        <f t="shared" si="14"/>
        <v>-0.45162869235802344</v>
      </c>
      <c r="G36" s="2"/>
      <c r="H36" s="2">
        <v>-2889.17</v>
      </c>
      <c r="I36" s="2"/>
      <c r="J36" s="19">
        <f t="shared" si="15"/>
        <v>-0.32476888697044093</v>
      </c>
      <c r="K36" s="2"/>
      <c r="L36" s="2">
        <f t="shared" si="16"/>
        <v>-8699.9699999999993</v>
      </c>
      <c r="M36" s="2"/>
      <c r="N36" s="19">
        <f t="shared" si="17"/>
        <v>3.0112350605883349</v>
      </c>
      <c r="O36" s="11"/>
      <c r="P36" s="2">
        <v>-25426.880000000001</v>
      </c>
      <c r="Q36" s="2"/>
      <c r="R36" s="19">
        <f t="shared" si="18"/>
        <v>-0.60288543225882629</v>
      </c>
      <c r="S36" s="2"/>
      <c r="T36" s="2">
        <v>-2889.17</v>
      </c>
      <c r="U36" s="2"/>
      <c r="V36" s="19">
        <f t="shared" si="19"/>
        <v>-0.13567987632208478</v>
      </c>
      <c r="W36" s="2"/>
      <c r="X36" s="2">
        <f t="shared" si="20"/>
        <v>-22537.71</v>
      </c>
      <c r="Y36" s="2"/>
      <c r="Z36" s="19">
        <f t="shared" si="21"/>
        <v>7.8007559264425419</v>
      </c>
    </row>
    <row r="37" spans="1:26" s="24" customFormat="1" hidden="1" outlineLevel="1" x14ac:dyDescent="0.25">
      <c r="A37" s="44"/>
      <c r="B37" s="11" t="str">
        <f>CONCATENATE("          ", "5300", " - ", "COG$ OFFSET")</f>
        <v xml:space="preserve">          5300 - COG$ OFFSET</v>
      </c>
      <c r="C37" s="11"/>
      <c r="D37" s="2">
        <v>14774.61</v>
      </c>
      <c r="E37" s="2"/>
      <c r="F37" s="19">
        <f t="shared" si="14"/>
        <v>0.57576643257392501</v>
      </c>
      <c r="G37" s="2"/>
      <c r="H37" s="2">
        <v>5140</v>
      </c>
      <c r="I37" s="2"/>
      <c r="J37" s="19">
        <f t="shared" si="15"/>
        <v>0.5777825738977167</v>
      </c>
      <c r="K37" s="2"/>
      <c r="L37" s="2">
        <f t="shared" si="16"/>
        <v>9634.61</v>
      </c>
      <c r="M37" s="2"/>
      <c r="N37" s="19">
        <f t="shared" si="17"/>
        <v>1.8744377431906616</v>
      </c>
      <c r="O37" s="11"/>
      <c r="P37" s="2">
        <v>24460.17</v>
      </c>
      <c r="Q37" s="2"/>
      <c r="R37" s="19">
        <f t="shared" si="18"/>
        <v>0.57996420180432573</v>
      </c>
      <c r="S37" s="2"/>
      <c r="T37" s="2">
        <v>14145</v>
      </c>
      <c r="U37" s="2"/>
      <c r="V37" s="19">
        <f t="shared" si="19"/>
        <v>0.66427100190569932</v>
      </c>
      <c r="W37" s="2"/>
      <c r="X37" s="2">
        <f t="shared" si="20"/>
        <v>10315.169999999998</v>
      </c>
      <c r="Y37" s="2"/>
      <c r="Z37" s="19">
        <f t="shared" si="21"/>
        <v>0.72924496288441132</v>
      </c>
    </row>
    <row r="38" spans="1:26" s="24" customFormat="1" hidden="1" outlineLevel="1" x14ac:dyDescent="0.25">
      <c r="A38" s="44"/>
      <c r="B38" s="11" t="str">
        <f>CONCATENATE("          ", "5500", " - ", "FREIGHT-IN")</f>
        <v xml:space="preserve">          5500 - FREIGHT-IN</v>
      </c>
      <c r="C38" s="11"/>
      <c r="D38" s="2">
        <v>51.32</v>
      </c>
      <c r="E38" s="2"/>
      <c r="F38" s="19">
        <f t="shared" si="14"/>
        <v>1.9999399862124165E-3</v>
      </c>
      <c r="G38" s="2"/>
      <c r="H38" s="2"/>
      <c r="I38" s="2"/>
      <c r="J38" s="19">
        <f t="shared" si="15"/>
        <v>0</v>
      </c>
      <c r="K38" s="2"/>
      <c r="L38" s="2">
        <f t="shared" si="16"/>
        <v>51.32</v>
      </c>
      <c r="M38" s="2"/>
      <c r="N38" s="19">
        <f t="shared" si="17"/>
        <v>0</v>
      </c>
      <c r="O38" s="11"/>
      <c r="P38" s="2">
        <v>193.77</v>
      </c>
      <c r="Q38" s="2"/>
      <c r="R38" s="19">
        <f t="shared" si="18"/>
        <v>4.5943942083650361E-3</v>
      </c>
      <c r="S38" s="2"/>
      <c r="T38" s="2"/>
      <c r="U38" s="2"/>
      <c r="V38" s="19">
        <f t="shared" si="19"/>
        <v>0</v>
      </c>
      <c r="W38" s="2"/>
      <c r="X38" s="2">
        <f t="shared" si="20"/>
        <v>193.77</v>
      </c>
      <c r="Y38" s="2"/>
      <c r="Z38" s="19">
        <f t="shared" si="21"/>
        <v>0</v>
      </c>
    </row>
    <row r="39" spans="1:26" s="24" customFormat="1" hidden="1" outlineLevel="1" x14ac:dyDescent="0.25">
      <c r="A39" s="44"/>
      <c r="B39" s="11" t="str">
        <f>CONCATENATE("          ", "5528", " - ", "FREIGHT-IN-ART/TECH")</f>
        <v xml:space="preserve">          5528 - FREIGHT-IN-ART/TECH</v>
      </c>
      <c r="C39" s="11"/>
      <c r="D39" s="2">
        <v>0</v>
      </c>
      <c r="E39" s="2"/>
      <c r="F39" s="19">
        <f t="shared" si="14"/>
        <v>0</v>
      </c>
      <c r="G39" s="2"/>
      <c r="H39" s="2">
        <v>6.76</v>
      </c>
      <c r="I39" s="2"/>
      <c r="J39" s="19">
        <f t="shared" si="15"/>
        <v>7.5988525283046009E-4</v>
      </c>
      <c r="K39" s="2"/>
      <c r="L39" s="2">
        <f t="shared" si="16"/>
        <v>-6.76</v>
      </c>
      <c r="M39" s="2"/>
      <c r="N39" s="19">
        <f t="shared" si="17"/>
        <v>-1</v>
      </c>
      <c r="O39" s="11"/>
      <c r="P39" s="2">
        <v>0</v>
      </c>
      <c r="Q39" s="2"/>
      <c r="R39" s="19">
        <f t="shared" si="18"/>
        <v>0</v>
      </c>
      <c r="S39" s="2"/>
      <c r="T39" s="2">
        <v>44.81</v>
      </c>
      <c r="U39" s="2"/>
      <c r="V39" s="19">
        <f t="shared" si="19"/>
        <v>2.1043466663410665E-3</v>
      </c>
      <c r="W39" s="2"/>
      <c r="X39" s="2">
        <f t="shared" si="20"/>
        <v>-44.81</v>
      </c>
      <c r="Y39" s="2"/>
      <c r="Z39" s="19">
        <f t="shared" si="21"/>
        <v>-1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x14ac:dyDescent="0.25">
      <c r="A41" s="10"/>
      <c r="B41" s="25" t="s">
        <v>107</v>
      </c>
      <c r="C41" s="25"/>
      <c r="D41" s="21">
        <f>D12-D29</f>
        <v>10886.160000000003</v>
      </c>
      <c r="E41" s="13"/>
      <c r="F41" s="22">
        <f>IF(D$12=0,0,D41/D$12)</f>
        <v>0.42423356742607499</v>
      </c>
      <c r="G41" s="13"/>
      <c r="H41" s="21">
        <f>H12-H29</f>
        <v>3756.08</v>
      </c>
      <c r="I41" s="13"/>
      <c r="J41" s="22">
        <f>IF(H$12=0,0,H41/H$12)</f>
        <v>0.42221742610228324</v>
      </c>
      <c r="K41" s="16"/>
      <c r="L41" s="21">
        <f>+D41-H41</f>
        <v>7130.0800000000036</v>
      </c>
      <c r="M41" s="16"/>
      <c r="N41" s="22">
        <f>IF(H41=0,0,L41/H41)</f>
        <v>1.8982769270090103</v>
      </c>
      <c r="O41" s="26"/>
      <c r="P41" s="21">
        <f>P12-P29</f>
        <v>17715.140000000007</v>
      </c>
      <c r="Q41" s="13"/>
      <c r="R41" s="22">
        <f>IF(P$12=0,0,P41/P$12)</f>
        <v>0.42003579819567433</v>
      </c>
      <c r="S41" s="13"/>
      <c r="T41" s="21">
        <f>T12-T29</f>
        <v>7110.9700000000012</v>
      </c>
      <c r="U41" s="13"/>
      <c r="V41" s="22">
        <f>IF(T$12=0,0,T41/T$12)</f>
        <v>0.33394211144725144</v>
      </c>
      <c r="W41" s="16"/>
      <c r="X41" s="21">
        <f>+P41-T41</f>
        <v>10604.170000000006</v>
      </c>
      <c r="Y41" s="16"/>
      <c r="Z41" s="22">
        <f>IF(T41=0,0,X41/T41)</f>
        <v>1.4912409980635559</v>
      </c>
    </row>
    <row r="42" spans="1:26" x14ac:dyDescent="0.25">
      <c r="A42" s="9"/>
      <c r="B42" s="10"/>
      <c r="C42" s="9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7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3" customFormat="1" x14ac:dyDescent="0.25">
      <c r="A43" s="10"/>
      <c r="B43" s="26" t="s">
        <v>294</v>
      </c>
      <c r="C43" s="10"/>
      <c r="D43" s="20">
        <f>SUM(OSRRefD22x_0)</f>
        <v>1344.8000000000002</v>
      </c>
      <c r="E43" s="20"/>
      <c r="F43" s="30">
        <f t="shared" ref="F43:F48" si="22">IF(D$12=0,0,D43/D$12)</f>
        <v>5.2406845157023735E-2</v>
      </c>
      <c r="G43" s="20"/>
      <c r="H43" s="20">
        <f>SUM(OSRRefH22x_0)</f>
        <v>3608.6000000000004</v>
      </c>
      <c r="I43" s="20"/>
      <c r="J43" s="30">
        <f t="shared" ref="J43:J48" si="23">IF(H$12=0,0,H43/H$12)</f>
        <v>0.40563933777573946</v>
      </c>
      <c r="K43" s="4"/>
      <c r="L43" s="20">
        <f t="shared" ref="L43:L48" si="24">+D43-H43</f>
        <v>-2263.8000000000002</v>
      </c>
      <c r="M43" s="4"/>
      <c r="N43" s="30">
        <f t="shared" ref="N43:N48" si="25">IF(H43=0,0,L43/H43)</f>
        <v>-0.6273347004378429</v>
      </c>
      <c r="O43" s="10"/>
      <c r="P43" s="20">
        <f>SUM(OSRRefP22x_0)</f>
        <v>5598.3</v>
      </c>
      <c r="Q43" s="20"/>
      <c r="R43" s="30">
        <f t="shared" ref="R43:R48" si="26">IF(P$12=0,0,P43/P$12)</f>
        <v>0.13273879907462446</v>
      </c>
      <c r="S43" s="20"/>
      <c r="T43" s="20">
        <f>SUM(OSRRefT22x_0)</f>
        <v>10193.669999999996</v>
      </c>
      <c r="U43" s="20"/>
      <c r="V43" s="30">
        <f t="shared" ref="V43:V48" si="27">IF(T$12=0,0,T43/T$12)</f>
        <v>0.47871045486009667</v>
      </c>
      <c r="W43" s="4"/>
      <c r="X43" s="20">
        <f t="shared" ref="X43:X48" si="28">+P43-T43</f>
        <v>-4595.3699999999963</v>
      </c>
      <c r="Y43" s="4"/>
      <c r="Z43" s="30">
        <f t="shared" ref="Z43:Z48" si="29">IF(T43=0,0,X43/T43)</f>
        <v>-0.45080623563446709</v>
      </c>
    </row>
    <row r="44" spans="1:26" s="27" customFormat="1" outlineLevel="1" collapsed="1" x14ac:dyDescent="0.25">
      <c r="A44" s="29"/>
      <c r="B44" s="14" t="str">
        <f>CONCATENATE("     ","*Benefits                                         ")</f>
        <v xml:space="preserve">     *Benefits                                         </v>
      </c>
      <c r="C44" s="14"/>
      <c r="D44" s="1">
        <f>SUM(OSRRefD22_0x_0)</f>
        <v>0</v>
      </c>
      <c r="E44" s="1"/>
      <c r="F44" s="5">
        <f t="shared" si="22"/>
        <v>0</v>
      </c>
      <c r="G44" s="1"/>
      <c r="H44" s="1">
        <f>SUM(OSRRefH22_0x_0)</f>
        <v>248.82999999999998</v>
      </c>
      <c r="I44" s="1"/>
      <c r="J44" s="5">
        <f t="shared" si="23"/>
        <v>2.7970746665947246E-2</v>
      </c>
      <c r="K44" s="1"/>
      <c r="L44" s="1">
        <f t="shared" si="24"/>
        <v>-248.82999999999998</v>
      </c>
      <c r="M44" s="1"/>
      <c r="N44" s="5">
        <f t="shared" si="25"/>
        <v>-1</v>
      </c>
      <c r="O44" s="14"/>
      <c r="P44" s="1">
        <f>SUM(OSRRefP22_0x_0)</f>
        <v>0</v>
      </c>
      <c r="Q44" s="1"/>
      <c r="R44" s="5">
        <f t="shared" si="26"/>
        <v>0</v>
      </c>
      <c r="S44" s="1"/>
      <c r="T44" s="1">
        <f>SUM(OSRRefT22_0x_0)</f>
        <v>562.16999999999996</v>
      </c>
      <c r="U44" s="1"/>
      <c r="V44" s="5">
        <f t="shared" si="27"/>
        <v>2.6400369681253231E-2</v>
      </c>
      <c r="W44" s="1"/>
      <c r="X44" s="1">
        <f t="shared" si="28"/>
        <v>-562.16999999999996</v>
      </c>
      <c r="Y44" s="1"/>
      <c r="Z44" s="5">
        <f t="shared" si="29"/>
        <v>-1</v>
      </c>
    </row>
    <row r="45" spans="1:26" s="24" customFormat="1" hidden="1" outlineLevel="2" x14ac:dyDescent="0.25">
      <c r="A45" s="28"/>
      <c r="B45" s="11" t="str">
        <f>CONCATENATE("          ", "6111", " - ", "F.I.C.A.")</f>
        <v xml:space="preserve">          6111 - F.I.C.A.</v>
      </c>
      <c r="C45" s="11"/>
      <c r="D45" s="7"/>
      <c r="E45" s="2"/>
      <c r="F45" s="6">
        <f t="shared" si="22"/>
        <v>0</v>
      </c>
      <c r="G45" s="2"/>
      <c r="H45" s="7">
        <v>149.04</v>
      </c>
      <c r="I45" s="2"/>
      <c r="J45" s="6">
        <f t="shared" si="23"/>
        <v>1.6753446461812392E-2</v>
      </c>
      <c r="K45" s="2"/>
      <c r="L45" s="7">
        <f t="shared" si="24"/>
        <v>-149.04</v>
      </c>
      <c r="M45" s="2"/>
      <c r="N45" s="6">
        <f t="shared" si="25"/>
        <v>-1</v>
      </c>
      <c r="O45" s="11"/>
      <c r="P45" s="7"/>
      <c r="Q45" s="2"/>
      <c r="R45" s="6">
        <f t="shared" si="26"/>
        <v>0</v>
      </c>
      <c r="S45" s="2"/>
      <c r="T45" s="7">
        <v>406.4</v>
      </c>
      <c r="U45" s="2"/>
      <c r="V45" s="6">
        <f t="shared" si="27"/>
        <v>1.9085170390560353E-2</v>
      </c>
      <c r="W45" s="2"/>
      <c r="X45" s="7">
        <f t="shared" si="28"/>
        <v>-406.4</v>
      </c>
      <c r="Y45" s="2"/>
      <c r="Z45" s="6">
        <f t="shared" si="29"/>
        <v>-1</v>
      </c>
    </row>
    <row r="46" spans="1:26" s="24" customFormat="1" hidden="1" outlineLevel="2" x14ac:dyDescent="0.25">
      <c r="A46" s="28"/>
      <c r="B46" s="11" t="str">
        <f>CONCATENATE("          ", "6112", " - ", "COMPENSATION INSURANCE")</f>
        <v xml:space="preserve">          6112 - COMPENSATION INSURANCE</v>
      </c>
      <c r="C46" s="11"/>
      <c r="D46" s="7"/>
      <c r="E46" s="2"/>
      <c r="F46" s="6">
        <f t="shared" si="22"/>
        <v>0</v>
      </c>
      <c r="G46" s="2"/>
      <c r="H46" s="7">
        <v>87.49</v>
      </c>
      <c r="I46" s="2"/>
      <c r="J46" s="6">
        <f t="shared" si="23"/>
        <v>9.8346687529788403E-3</v>
      </c>
      <c r="K46" s="2"/>
      <c r="L46" s="7">
        <f t="shared" si="24"/>
        <v>-87.49</v>
      </c>
      <c r="M46" s="2"/>
      <c r="N46" s="6">
        <f t="shared" si="25"/>
        <v>-1</v>
      </c>
      <c r="O46" s="11"/>
      <c r="P46" s="7"/>
      <c r="Q46" s="2"/>
      <c r="R46" s="6">
        <f t="shared" si="26"/>
        <v>0</v>
      </c>
      <c r="S46" s="2"/>
      <c r="T46" s="7">
        <v>134.72999999999999</v>
      </c>
      <c r="U46" s="2"/>
      <c r="V46" s="6">
        <f t="shared" si="27"/>
        <v>6.3271284614178063E-3</v>
      </c>
      <c r="W46" s="2"/>
      <c r="X46" s="7">
        <f t="shared" si="28"/>
        <v>-134.72999999999999</v>
      </c>
      <c r="Y46" s="2"/>
      <c r="Z46" s="6">
        <f t="shared" si="29"/>
        <v>-1</v>
      </c>
    </row>
    <row r="47" spans="1:26" s="24" customFormat="1" hidden="1" outlineLevel="2" x14ac:dyDescent="0.25">
      <c r="A47" s="28"/>
      <c r="B47" s="11" t="str">
        <f>CONCATENATE("          ", "6113", " - ", "GROUP INSURANCE")</f>
        <v xml:space="preserve">          6113 - GROUP INSURANCE</v>
      </c>
      <c r="C47" s="11"/>
      <c r="D47" s="7"/>
      <c r="E47" s="2"/>
      <c r="F47" s="6">
        <f t="shared" si="22"/>
        <v>0</v>
      </c>
      <c r="G47" s="2"/>
      <c r="H47" s="7"/>
      <c r="I47" s="2"/>
      <c r="J47" s="6">
        <f t="shared" si="23"/>
        <v>0</v>
      </c>
      <c r="K47" s="2"/>
      <c r="L47" s="7">
        <f t="shared" si="24"/>
        <v>0</v>
      </c>
      <c r="M47" s="2"/>
      <c r="N47" s="6">
        <f t="shared" si="25"/>
        <v>0</v>
      </c>
      <c r="O47" s="11"/>
      <c r="P47" s="7"/>
      <c r="Q47" s="2"/>
      <c r="R47" s="6">
        <f t="shared" si="26"/>
        <v>0</v>
      </c>
      <c r="S47" s="2"/>
      <c r="T47" s="7">
        <v>0</v>
      </c>
      <c r="U47" s="2"/>
      <c r="V47" s="6">
        <f t="shared" si="27"/>
        <v>0</v>
      </c>
      <c r="W47" s="2"/>
      <c r="X47" s="7">
        <f t="shared" si="28"/>
        <v>0</v>
      </c>
      <c r="Y47" s="2"/>
      <c r="Z47" s="6">
        <f t="shared" si="29"/>
        <v>0</v>
      </c>
    </row>
    <row r="48" spans="1:26" s="24" customFormat="1" hidden="1" outlineLevel="2" x14ac:dyDescent="0.25">
      <c r="A48" s="28"/>
      <c r="B48" s="11" t="str">
        <f>CONCATENATE("          ", "6114", " - ", "STATE UNEMPLOYMENT INSURANCE")</f>
        <v xml:space="preserve">          6114 - STATE UNEMPLOYMENT INSURANCE</v>
      </c>
      <c r="C48" s="11"/>
      <c r="D48" s="7"/>
      <c r="E48" s="2"/>
      <c r="F48" s="6">
        <f t="shared" si="22"/>
        <v>0</v>
      </c>
      <c r="G48" s="2"/>
      <c r="H48" s="7">
        <v>12.3</v>
      </c>
      <c r="I48" s="2"/>
      <c r="J48" s="6">
        <f t="shared" si="23"/>
        <v>1.3826314511560149E-3</v>
      </c>
      <c r="K48" s="2"/>
      <c r="L48" s="7">
        <f t="shared" si="24"/>
        <v>-12.3</v>
      </c>
      <c r="M48" s="2"/>
      <c r="N48" s="6">
        <f t="shared" si="25"/>
        <v>-1</v>
      </c>
      <c r="O48" s="11"/>
      <c r="P48" s="7"/>
      <c r="Q48" s="2"/>
      <c r="R48" s="6">
        <f t="shared" si="26"/>
        <v>0</v>
      </c>
      <c r="S48" s="2"/>
      <c r="T48" s="7">
        <v>21.04</v>
      </c>
      <c r="U48" s="2"/>
      <c r="V48" s="6">
        <f t="shared" si="27"/>
        <v>9.8807082927507349E-4</v>
      </c>
      <c r="W48" s="2"/>
      <c r="X48" s="7">
        <f t="shared" si="28"/>
        <v>-21.04</v>
      </c>
      <c r="Y48" s="2"/>
      <c r="Z48" s="6">
        <f t="shared" si="29"/>
        <v>-1</v>
      </c>
    </row>
    <row r="49" spans="1:26" s="27" customFormat="1" outlineLevel="1" collapsed="1" x14ac:dyDescent="0.25">
      <c r="A49" s="29"/>
      <c r="B49" s="14" t="str">
        <f>CONCATENATE("     ","*Payroll                                          ")</f>
        <v xml:space="preserve">     *Payroll                                          </v>
      </c>
      <c r="C49" s="14"/>
      <c r="D49" s="1">
        <f>SUM(OSRRefD22_1x_0)</f>
        <v>0</v>
      </c>
      <c r="E49" s="1"/>
      <c r="F49" s="5">
        <f t="shared" ref="F49:F51" si="30">IF(D$12=0,0,D49/D$12)</f>
        <v>0</v>
      </c>
      <c r="G49" s="1"/>
      <c r="H49" s="1">
        <f>SUM(OSRRefH22_1x_0)</f>
        <v>2735.85</v>
      </c>
      <c r="I49" s="1"/>
      <c r="J49" s="5">
        <f t="shared" ref="J49:J51" si="31">IF(H$12=0,0,H49/H$12)</f>
        <v>0.30753432972725064</v>
      </c>
      <c r="K49" s="1"/>
      <c r="L49" s="1">
        <f t="shared" ref="L49:L51" si="32">+D49-H49</f>
        <v>-2735.85</v>
      </c>
      <c r="M49" s="1"/>
      <c r="N49" s="5">
        <f t="shared" ref="N49:N51" si="33">IF(H49=0,0,L49/H49)</f>
        <v>-1</v>
      </c>
      <c r="O49" s="14"/>
      <c r="P49" s="1">
        <f>SUM(OSRRefP22_1x_0)</f>
        <v>0</v>
      </c>
      <c r="Q49" s="1"/>
      <c r="R49" s="5">
        <f t="shared" ref="R49:R51" si="34">IF(P$12=0,0,P49/P$12)</f>
        <v>0</v>
      </c>
      <c r="S49" s="1"/>
      <c r="T49" s="1">
        <f>SUM(OSRRefT22_1x_0)</f>
        <v>7242.9699999999993</v>
      </c>
      <c r="U49" s="1"/>
      <c r="V49" s="5">
        <f t="shared" ref="V49:V51" si="35">IF(T$12=0,0,T49/T$12)</f>
        <v>0.34014103490087821</v>
      </c>
      <c r="W49" s="1"/>
      <c r="X49" s="1">
        <f t="shared" ref="X49:X51" si="36">+P49-T49</f>
        <v>-7242.9699999999993</v>
      </c>
      <c r="Y49" s="1"/>
      <c r="Z49" s="5">
        <f t="shared" ref="Z49:Z51" si="37">IF(T49=0,0,X49/T49)</f>
        <v>-1</v>
      </c>
    </row>
    <row r="50" spans="1:26" s="24" customFormat="1" hidden="1" outlineLevel="2" x14ac:dyDescent="0.25">
      <c r="A50" s="28"/>
      <c r="B50" s="11" t="str">
        <f>CONCATENATE("          ", "6005", " - ", "TEMPORARY WAGES-HOURLY")</f>
        <v xml:space="preserve">          6005 - TEMPORARY WAGES-HOURLY</v>
      </c>
      <c r="C50" s="11"/>
      <c r="D50" s="7"/>
      <c r="E50" s="2"/>
      <c r="F50" s="6">
        <f t="shared" si="30"/>
        <v>0</v>
      </c>
      <c r="G50" s="2"/>
      <c r="H50" s="7">
        <v>1948.22</v>
      </c>
      <c r="I50" s="2"/>
      <c r="J50" s="6">
        <f t="shared" si="31"/>
        <v>0.21899758095700578</v>
      </c>
      <c r="K50" s="2"/>
      <c r="L50" s="7">
        <f t="shared" si="32"/>
        <v>-1948.22</v>
      </c>
      <c r="M50" s="2"/>
      <c r="N50" s="6">
        <f t="shared" si="33"/>
        <v>-1</v>
      </c>
      <c r="O50" s="11"/>
      <c r="P50" s="7"/>
      <c r="Q50" s="2"/>
      <c r="R50" s="6">
        <f t="shared" si="34"/>
        <v>0</v>
      </c>
      <c r="S50" s="2"/>
      <c r="T50" s="7">
        <v>4356.45</v>
      </c>
      <c r="U50" s="2"/>
      <c r="V50" s="6">
        <f t="shared" si="35"/>
        <v>0.20458560666327916</v>
      </c>
      <c r="W50" s="2"/>
      <c r="X50" s="7">
        <f t="shared" si="36"/>
        <v>-4356.45</v>
      </c>
      <c r="Y50" s="2"/>
      <c r="Z50" s="6">
        <f t="shared" si="37"/>
        <v>-1</v>
      </c>
    </row>
    <row r="51" spans="1:26" s="24" customFormat="1" hidden="1" outlineLevel="2" x14ac:dyDescent="0.25">
      <c r="A51" s="28"/>
      <c r="B51" s="11" t="str">
        <f>CONCATENATE("          ", "6007", " - ", "STUDENT HOURLY")</f>
        <v xml:space="preserve">          6007 - STUDENT HOURLY</v>
      </c>
      <c r="C51" s="11"/>
      <c r="D51" s="7"/>
      <c r="E51" s="2"/>
      <c r="F51" s="6">
        <f t="shared" si="30"/>
        <v>0</v>
      </c>
      <c r="G51" s="2"/>
      <c r="H51" s="7">
        <v>787.63</v>
      </c>
      <c r="I51" s="2"/>
      <c r="J51" s="6">
        <f t="shared" si="31"/>
        <v>8.8536748770244866E-2</v>
      </c>
      <c r="K51" s="2"/>
      <c r="L51" s="7">
        <f t="shared" si="32"/>
        <v>-787.63</v>
      </c>
      <c r="M51" s="2"/>
      <c r="N51" s="6">
        <f t="shared" si="33"/>
        <v>-1</v>
      </c>
      <c r="O51" s="11"/>
      <c r="P51" s="7"/>
      <c r="Q51" s="2"/>
      <c r="R51" s="6">
        <f t="shared" si="34"/>
        <v>0</v>
      </c>
      <c r="S51" s="2"/>
      <c r="T51" s="7">
        <v>2886.52</v>
      </c>
      <c r="U51" s="2"/>
      <c r="V51" s="6">
        <f t="shared" si="35"/>
        <v>0.13555542823759908</v>
      </c>
      <c r="W51" s="2"/>
      <c r="X51" s="7">
        <f t="shared" si="36"/>
        <v>-2886.52</v>
      </c>
      <c r="Y51" s="2"/>
      <c r="Z51" s="6">
        <f t="shared" si="37"/>
        <v>-1</v>
      </c>
    </row>
    <row r="52" spans="1:26" s="27" customFormat="1" outlineLevel="1" collapsed="1" x14ac:dyDescent="0.25">
      <c r="A52" s="29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17.64</v>
      </c>
      <c r="E52" s="1"/>
      <c r="F52" s="5">
        <f t="shared" ref="F52:F58" si="38">IF(D$12=0,0,D52/D$12)</f>
        <v>6.8743065777059683E-4</v>
      </c>
      <c r="G52" s="1"/>
      <c r="H52" s="1">
        <f>SUM(OSRRefH22_2x_0)</f>
        <v>0</v>
      </c>
      <c r="I52" s="1"/>
      <c r="J52" s="5">
        <f t="shared" ref="J52:J58" si="39">IF(H$12=0,0,H52/H$12)</f>
        <v>0</v>
      </c>
      <c r="K52" s="1"/>
      <c r="L52" s="1">
        <f t="shared" ref="L52:L58" si="40">+D52-H52</f>
        <v>17.64</v>
      </c>
      <c r="M52" s="1"/>
      <c r="N52" s="5">
        <f t="shared" ref="N52:N58" si="41">IF(H52=0,0,L52/H52)</f>
        <v>0</v>
      </c>
      <c r="O52" s="14"/>
      <c r="P52" s="1">
        <f>SUM(OSRRefP22_2x_0)</f>
        <v>152.91999999999999</v>
      </c>
      <c r="Q52" s="1"/>
      <c r="R52" s="5">
        <f t="shared" ref="R52:R58" si="42">IF(P$12=0,0,P52/P$12)</f>
        <v>3.6258180437796421E-3</v>
      </c>
      <c r="S52" s="1"/>
      <c r="T52" s="1">
        <f>SUM(OSRRefT22_2x_0)</f>
        <v>0</v>
      </c>
      <c r="U52" s="1"/>
      <c r="V52" s="5">
        <f t="shared" ref="V52:V58" si="43">IF(T$12=0,0,T52/T$12)</f>
        <v>0</v>
      </c>
      <c r="W52" s="1"/>
      <c r="X52" s="1">
        <f t="shared" ref="X52:X58" si="44">+P52-T52</f>
        <v>152.91999999999999</v>
      </c>
      <c r="Y52" s="1"/>
      <c r="Z52" s="5">
        <f t="shared" ref="Z52:Z58" si="45">IF(T52=0,0,X52/T52)</f>
        <v>0</v>
      </c>
    </row>
    <row r="53" spans="1:26" s="24" customFormat="1" hidden="1" outlineLevel="2" x14ac:dyDescent="0.25">
      <c r="A53" s="28"/>
      <c r="B53" s="11" t="str">
        <f>CONCATENATE("          ", "6362", " - ", "ADVERTISING EXPENSE")</f>
        <v xml:space="preserve">          6362 - ADVERTISING EXPENSE</v>
      </c>
      <c r="C53" s="11"/>
      <c r="D53" s="7">
        <v>17.64</v>
      </c>
      <c r="E53" s="2"/>
      <c r="F53" s="6">
        <f t="shared" si="38"/>
        <v>6.8743065777059683E-4</v>
      </c>
      <c r="G53" s="2"/>
      <c r="H53" s="7"/>
      <c r="I53" s="2"/>
      <c r="J53" s="6">
        <f t="shared" si="39"/>
        <v>0</v>
      </c>
      <c r="K53" s="2"/>
      <c r="L53" s="7">
        <f t="shared" si="40"/>
        <v>17.64</v>
      </c>
      <c r="M53" s="2"/>
      <c r="N53" s="6">
        <f t="shared" si="41"/>
        <v>0</v>
      </c>
      <c r="O53" s="11"/>
      <c r="P53" s="7">
        <v>152.91999999999999</v>
      </c>
      <c r="Q53" s="2"/>
      <c r="R53" s="6">
        <f t="shared" si="42"/>
        <v>3.6258180437796421E-3</v>
      </c>
      <c r="S53" s="2"/>
      <c r="T53" s="7"/>
      <c r="U53" s="2"/>
      <c r="V53" s="6">
        <f t="shared" si="43"/>
        <v>0</v>
      </c>
      <c r="W53" s="2"/>
      <c r="X53" s="7">
        <f t="shared" si="44"/>
        <v>152.91999999999999</v>
      </c>
      <c r="Y53" s="2"/>
      <c r="Z53" s="6">
        <f t="shared" si="45"/>
        <v>0</v>
      </c>
    </row>
    <row r="54" spans="1:26" s="27" customFormat="1" outlineLevel="1" collapsed="1" x14ac:dyDescent="0.25">
      <c r="A54" s="29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SUM(OSRRefD22_3x_0)</f>
        <v>-1.67</v>
      </c>
      <c r="E54" s="1"/>
      <c r="F54" s="5">
        <f t="shared" si="38"/>
        <v>-6.5079886534971469E-5</v>
      </c>
      <c r="G54" s="1"/>
      <c r="H54" s="1">
        <f>SUM(OSRRefH22_3x_0)</f>
        <v>0.8</v>
      </c>
      <c r="I54" s="1"/>
      <c r="J54" s="5">
        <f t="shared" si="39"/>
        <v>8.9927248855675766E-5</v>
      </c>
      <c r="K54" s="1"/>
      <c r="L54" s="1">
        <f t="shared" si="40"/>
        <v>-2.4699999999999998</v>
      </c>
      <c r="M54" s="1"/>
      <c r="N54" s="5">
        <f t="shared" si="41"/>
        <v>-3.0874999999999995</v>
      </c>
      <c r="O54" s="14"/>
      <c r="P54" s="1">
        <f>SUM(OSRRefP22_3x_0)</f>
        <v>-3.33</v>
      </c>
      <c r="Q54" s="1"/>
      <c r="R54" s="5">
        <f t="shared" si="42"/>
        <v>-7.8956147565957427E-5</v>
      </c>
      <c r="S54" s="1"/>
      <c r="T54" s="1">
        <f>SUM(OSRRefT22_3x_0)</f>
        <v>1.1000000000000001</v>
      </c>
      <c r="U54" s="1"/>
      <c r="V54" s="5">
        <f t="shared" si="43"/>
        <v>5.1657695446890725E-5</v>
      </c>
      <c r="W54" s="1"/>
      <c r="X54" s="1">
        <f t="shared" si="44"/>
        <v>-4.43</v>
      </c>
      <c r="Y54" s="1"/>
      <c r="Z54" s="5">
        <f t="shared" si="45"/>
        <v>-4.0272727272727264</v>
      </c>
    </row>
    <row r="55" spans="1:26" s="24" customFormat="1" hidden="1" outlineLevel="2" x14ac:dyDescent="0.25">
      <c r="A55" s="28"/>
      <c r="B55" s="11" t="str">
        <f>CONCATENATE("          ", "6272", " - ", "CASH (OVER/SHORT)")</f>
        <v xml:space="preserve">          6272 - CASH (OVER/SHORT)</v>
      </c>
      <c r="C55" s="11"/>
      <c r="D55" s="7">
        <v>-1.67</v>
      </c>
      <c r="E55" s="2"/>
      <c r="F55" s="6">
        <f t="shared" si="38"/>
        <v>-6.5079886534971469E-5</v>
      </c>
      <c r="G55" s="2"/>
      <c r="H55" s="7">
        <v>0.8</v>
      </c>
      <c r="I55" s="2"/>
      <c r="J55" s="6">
        <f t="shared" si="39"/>
        <v>8.9927248855675766E-5</v>
      </c>
      <c r="K55" s="2"/>
      <c r="L55" s="7">
        <f t="shared" si="40"/>
        <v>-2.4699999999999998</v>
      </c>
      <c r="M55" s="2"/>
      <c r="N55" s="6">
        <f t="shared" si="41"/>
        <v>-3.0874999999999995</v>
      </c>
      <c r="O55" s="11"/>
      <c r="P55" s="7">
        <v>-3.33</v>
      </c>
      <c r="Q55" s="2"/>
      <c r="R55" s="6">
        <f t="shared" si="42"/>
        <v>-7.8956147565957427E-5</v>
      </c>
      <c r="S55" s="2"/>
      <c r="T55" s="7">
        <v>1.1000000000000001</v>
      </c>
      <c r="U55" s="2"/>
      <c r="V55" s="6">
        <f t="shared" si="43"/>
        <v>5.1657695446890725E-5</v>
      </c>
      <c r="W55" s="2"/>
      <c r="X55" s="7">
        <f t="shared" si="44"/>
        <v>-4.43</v>
      </c>
      <c r="Y55" s="2"/>
      <c r="Z55" s="6">
        <f t="shared" si="45"/>
        <v>-4.0272727272727264</v>
      </c>
    </row>
    <row r="56" spans="1:26" s="27" customFormat="1" outlineLevel="1" collapsed="1" x14ac:dyDescent="0.25">
      <c r="A56" s="29"/>
      <c r="B56" s="14" t="str">
        <f>CONCATENATE("     ","Discounts and Markdowns                           ")</f>
        <v xml:space="preserve">     Discounts and Markdowns                           </v>
      </c>
      <c r="C56" s="14"/>
      <c r="D56" s="1">
        <f>SUM(OSRRefD22_4x_0)</f>
        <v>69.38</v>
      </c>
      <c r="E56" s="1"/>
      <c r="F56" s="5">
        <f t="shared" si="38"/>
        <v>2.7037380405965988E-3</v>
      </c>
      <c r="G56" s="1"/>
      <c r="H56" s="1">
        <f>SUM(OSRRefH22_4x_0)</f>
        <v>0</v>
      </c>
      <c r="I56" s="1"/>
      <c r="J56" s="5">
        <f t="shared" si="39"/>
        <v>0</v>
      </c>
      <c r="K56" s="1"/>
      <c r="L56" s="1">
        <f t="shared" si="40"/>
        <v>69.38</v>
      </c>
      <c r="M56" s="1"/>
      <c r="N56" s="5">
        <f t="shared" si="41"/>
        <v>0</v>
      </c>
      <c r="O56" s="14"/>
      <c r="P56" s="1">
        <f>SUM(OSRRefP22_4x_0)</f>
        <v>0</v>
      </c>
      <c r="Q56" s="1"/>
      <c r="R56" s="5">
        <f t="shared" si="42"/>
        <v>0</v>
      </c>
      <c r="S56" s="1"/>
      <c r="T56" s="1">
        <f>SUM(OSRRefT22_4x_0)</f>
        <v>0</v>
      </c>
      <c r="U56" s="1"/>
      <c r="V56" s="5">
        <f t="shared" si="43"/>
        <v>0</v>
      </c>
      <c r="W56" s="1"/>
      <c r="X56" s="1">
        <f t="shared" si="44"/>
        <v>0</v>
      </c>
      <c r="Y56" s="1"/>
      <c r="Z56" s="5">
        <f t="shared" si="45"/>
        <v>0</v>
      </c>
    </row>
    <row r="57" spans="1:26" s="24" customFormat="1" hidden="1" outlineLevel="2" x14ac:dyDescent="0.25">
      <c r="A57" s="28"/>
      <c r="B57" s="11" t="str">
        <f>CONCATENATE("          ", "6382", " - ", "DISCOUNTS/MARK DOWNS")</f>
        <v xml:space="preserve">          6382 - DISCOUNTS/MARK DOWNS</v>
      </c>
      <c r="C57" s="11"/>
      <c r="D57" s="7"/>
      <c r="E57" s="2"/>
      <c r="F57" s="6">
        <f t="shared" si="38"/>
        <v>0</v>
      </c>
      <c r="G57" s="2"/>
      <c r="H57" s="7">
        <v>0</v>
      </c>
      <c r="I57" s="2"/>
      <c r="J57" s="6">
        <f t="shared" si="39"/>
        <v>0</v>
      </c>
      <c r="K57" s="2"/>
      <c r="L57" s="7">
        <f t="shared" si="40"/>
        <v>0</v>
      </c>
      <c r="M57" s="2"/>
      <c r="N57" s="6">
        <f t="shared" si="41"/>
        <v>0</v>
      </c>
      <c r="O57" s="11"/>
      <c r="P57" s="7"/>
      <c r="Q57" s="2"/>
      <c r="R57" s="6">
        <f t="shared" si="42"/>
        <v>0</v>
      </c>
      <c r="S57" s="2"/>
      <c r="T57" s="7">
        <v>0</v>
      </c>
      <c r="U57" s="2"/>
      <c r="V57" s="6">
        <f t="shared" si="43"/>
        <v>0</v>
      </c>
      <c r="W57" s="2"/>
      <c r="X57" s="7">
        <f t="shared" si="44"/>
        <v>0</v>
      </c>
      <c r="Y57" s="2"/>
      <c r="Z57" s="6">
        <f t="shared" si="45"/>
        <v>0</v>
      </c>
    </row>
    <row r="58" spans="1:26" s="24" customFormat="1" hidden="1" outlineLevel="2" x14ac:dyDescent="0.25">
      <c r="A58" s="28"/>
      <c r="B58" s="11" t="str">
        <f>CONCATENATE("          ", "9175", " - ", "EARNED DISCOUNTS")</f>
        <v xml:space="preserve">          9175 - EARNED DISCOUNTS</v>
      </c>
      <c r="C58" s="11"/>
      <c r="D58" s="7">
        <v>69.38</v>
      </c>
      <c r="E58" s="2"/>
      <c r="F58" s="6">
        <f t="shared" si="38"/>
        <v>2.7037380405965988E-3</v>
      </c>
      <c r="G58" s="2"/>
      <c r="H58" s="7"/>
      <c r="I58" s="2"/>
      <c r="J58" s="6">
        <f t="shared" si="39"/>
        <v>0</v>
      </c>
      <c r="K58" s="2"/>
      <c r="L58" s="7">
        <f t="shared" si="40"/>
        <v>69.38</v>
      </c>
      <c r="M58" s="2"/>
      <c r="N58" s="6">
        <f t="shared" si="41"/>
        <v>0</v>
      </c>
      <c r="O58" s="11"/>
      <c r="P58" s="7">
        <v>0</v>
      </c>
      <c r="Q58" s="2"/>
      <c r="R58" s="6">
        <f t="shared" si="42"/>
        <v>0</v>
      </c>
      <c r="S58" s="2"/>
      <c r="T58" s="7"/>
      <c r="U58" s="2"/>
      <c r="V58" s="6">
        <f t="shared" si="43"/>
        <v>0</v>
      </c>
      <c r="W58" s="2"/>
      <c r="X58" s="7">
        <f t="shared" si="44"/>
        <v>0</v>
      </c>
      <c r="Y58" s="2"/>
      <c r="Z58" s="6">
        <f t="shared" si="45"/>
        <v>0</v>
      </c>
    </row>
    <row r="59" spans="1:26" s="27" customFormat="1" outlineLevel="1" collapsed="1" x14ac:dyDescent="0.25">
      <c r="A59" s="29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SUM(OSRRefD22_5x_0)</f>
        <v>34.5</v>
      </c>
      <c r="E59" s="1"/>
      <c r="F59" s="5">
        <f t="shared" ref="F59:F61" si="46">IF(D$12=0,0,D59/D$12)</f>
        <v>1.3444647218302489E-3</v>
      </c>
      <c r="G59" s="1"/>
      <c r="H59" s="1">
        <f>SUM(OSRRefH22_5x_0)</f>
        <v>0</v>
      </c>
      <c r="I59" s="1"/>
      <c r="J59" s="5">
        <f t="shared" ref="J59:J61" si="47">IF(H$12=0,0,H59/H$12)</f>
        <v>0</v>
      </c>
      <c r="K59" s="1"/>
      <c r="L59" s="1">
        <f t="shared" ref="L59:L61" si="48">+D59-H59</f>
        <v>34.5</v>
      </c>
      <c r="M59" s="1"/>
      <c r="N59" s="5">
        <f t="shared" ref="N59:N61" si="49">IF(H59=0,0,L59/H59)</f>
        <v>0</v>
      </c>
      <c r="O59" s="14"/>
      <c r="P59" s="1">
        <f>SUM(OSRRefP22_5x_0)</f>
        <v>54.5</v>
      </c>
      <c r="Q59" s="1"/>
      <c r="R59" s="5">
        <f t="shared" ref="R59:R61" si="50">IF(P$12=0,0,P59/P$12)</f>
        <v>1.2922252379413452E-3</v>
      </c>
      <c r="S59" s="1"/>
      <c r="T59" s="1">
        <f>SUM(OSRRefT22_5x_0)</f>
        <v>0</v>
      </c>
      <c r="U59" s="1"/>
      <c r="V59" s="5">
        <f t="shared" ref="V59:V61" si="51">IF(T$12=0,0,T59/T$12)</f>
        <v>0</v>
      </c>
      <c r="W59" s="1"/>
      <c r="X59" s="1">
        <f t="shared" ref="X59:X61" si="52">+P59-T59</f>
        <v>54.5</v>
      </c>
      <c r="Y59" s="1"/>
      <c r="Z59" s="5">
        <f t="shared" ref="Z59:Z61" si="53">IF(T59=0,0,X59/T59)</f>
        <v>0</v>
      </c>
    </row>
    <row r="60" spans="1:26" s="24" customFormat="1" hidden="1" outlineLevel="2" x14ac:dyDescent="0.25">
      <c r="A60" s="28"/>
      <c r="B60" s="11" t="str">
        <f>CONCATENATE("          ", "6305", " - ", "FREIGHT OUT")</f>
        <v xml:space="preserve">          6305 - FREIGHT OUT</v>
      </c>
      <c r="C60" s="11"/>
      <c r="D60" s="7"/>
      <c r="E60" s="2"/>
      <c r="F60" s="6">
        <f t="shared" si="46"/>
        <v>0</v>
      </c>
      <c r="G60" s="2"/>
      <c r="H60" s="7">
        <v>0</v>
      </c>
      <c r="I60" s="2"/>
      <c r="J60" s="6">
        <f t="shared" si="47"/>
        <v>0</v>
      </c>
      <c r="K60" s="2"/>
      <c r="L60" s="7">
        <f t="shared" si="48"/>
        <v>0</v>
      </c>
      <c r="M60" s="2"/>
      <c r="N60" s="6">
        <f t="shared" si="49"/>
        <v>0</v>
      </c>
      <c r="O60" s="11"/>
      <c r="P60" s="7"/>
      <c r="Q60" s="2"/>
      <c r="R60" s="6">
        <f t="shared" si="50"/>
        <v>0</v>
      </c>
      <c r="S60" s="2"/>
      <c r="T60" s="7">
        <v>0</v>
      </c>
      <c r="U60" s="2"/>
      <c r="V60" s="6">
        <f t="shared" si="51"/>
        <v>0</v>
      </c>
      <c r="W60" s="2"/>
      <c r="X60" s="7">
        <f t="shared" si="52"/>
        <v>0</v>
      </c>
      <c r="Y60" s="2"/>
      <c r="Z60" s="6">
        <f t="shared" si="53"/>
        <v>0</v>
      </c>
    </row>
    <row r="61" spans="1:26" s="24" customFormat="1" hidden="1" outlineLevel="2" x14ac:dyDescent="0.25">
      <c r="A61" s="28"/>
      <c r="B61" s="11" t="str">
        <f>CONCATENATE("          ", "6307", " - ", "POSTAGE")</f>
        <v xml:space="preserve">          6307 - POSTAGE</v>
      </c>
      <c r="C61" s="11"/>
      <c r="D61" s="7">
        <v>34.5</v>
      </c>
      <c r="E61" s="2"/>
      <c r="F61" s="6">
        <f t="shared" si="46"/>
        <v>1.3444647218302489E-3</v>
      </c>
      <c r="G61" s="2"/>
      <c r="H61" s="7"/>
      <c r="I61" s="2"/>
      <c r="J61" s="6">
        <f t="shared" si="47"/>
        <v>0</v>
      </c>
      <c r="K61" s="2"/>
      <c r="L61" s="7">
        <f t="shared" si="48"/>
        <v>34.5</v>
      </c>
      <c r="M61" s="2"/>
      <c r="N61" s="6">
        <f t="shared" si="49"/>
        <v>0</v>
      </c>
      <c r="O61" s="11"/>
      <c r="P61" s="7">
        <v>54.5</v>
      </c>
      <c r="Q61" s="2"/>
      <c r="R61" s="6">
        <f t="shared" si="50"/>
        <v>1.2922252379413452E-3</v>
      </c>
      <c r="S61" s="2"/>
      <c r="T61" s="7"/>
      <c r="U61" s="2"/>
      <c r="V61" s="6">
        <f t="shared" si="51"/>
        <v>0</v>
      </c>
      <c r="W61" s="2"/>
      <c r="X61" s="7">
        <f t="shared" si="52"/>
        <v>54.5</v>
      </c>
      <c r="Y61" s="2"/>
      <c r="Z61" s="6">
        <f t="shared" si="53"/>
        <v>0</v>
      </c>
    </row>
    <row r="62" spans="1:26" s="27" customFormat="1" outlineLevel="1" collapsed="1" x14ac:dyDescent="0.25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SUM(OSRRefD22_6x_0)</f>
        <v>0</v>
      </c>
      <c r="E62" s="1"/>
      <c r="F62" s="5">
        <f t="shared" ref="F62:F68" si="54">IF(D$12=0,0,D62/D$12)</f>
        <v>0</v>
      </c>
      <c r="G62" s="1"/>
      <c r="H62" s="1">
        <f>SUM(OSRRefH22_6x_0)</f>
        <v>0</v>
      </c>
      <c r="I62" s="1"/>
      <c r="J62" s="5">
        <f t="shared" ref="J62:J68" si="55">IF(H$12=0,0,H62/H$12)</f>
        <v>0</v>
      </c>
      <c r="K62" s="1"/>
      <c r="L62" s="1">
        <f t="shared" ref="L62:L68" si="56">+D62-H62</f>
        <v>0</v>
      </c>
      <c r="M62" s="1"/>
      <c r="N62" s="5">
        <f t="shared" ref="N62:N68" si="57">IF(H62=0,0,L62/H62)</f>
        <v>0</v>
      </c>
      <c r="O62" s="14"/>
      <c r="P62" s="1">
        <f>SUM(OSRRefP22_6x_0)</f>
        <v>228.04</v>
      </c>
      <c r="Q62" s="1"/>
      <c r="R62" s="5">
        <f t="shared" ref="R62:R68" si="58">IF(P$12=0,0,P62/P$12)</f>
        <v>5.4069549222044832E-3</v>
      </c>
      <c r="S62" s="1"/>
      <c r="T62" s="1">
        <f>SUM(OSRRefT22_6x_0)</f>
        <v>719.55</v>
      </c>
      <c r="U62" s="1"/>
      <c r="V62" s="5">
        <f t="shared" ref="V62:V68" si="59">IF(T$12=0,0,T62/T$12)</f>
        <v>3.3791177053463836E-2</v>
      </c>
      <c r="W62" s="1"/>
      <c r="X62" s="1">
        <f t="shared" ref="X62:X68" si="60">+P62-T62</f>
        <v>-491.51</v>
      </c>
      <c r="Y62" s="1"/>
      <c r="Z62" s="5">
        <f t="shared" ref="Z62:Z68" si="61">IF(T62=0,0,X62/T62)</f>
        <v>-0.68307970259189776</v>
      </c>
    </row>
    <row r="63" spans="1:26" s="24" customFormat="1" hidden="1" outlineLevel="2" x14ac:dyDescent="0.25">
      <c r="A63" s="28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54"/>
        <v>0</v>
      </c>
      <c r="G63" s="2"/>
      <c r="H63" s="7"/>
      <c r="I63" s="2"/>
      <c r="J63" s="6">
        <f t="shared" si="55"/>
        <v>0</v>
      </c>
      <c r="K63" s="2"/>
      <c r="L63" s="7">
        <f t="shared" si="56"/>
        <v>0</v>
      </c>
      <c r="M63" s="2"/>
      <c r="N63" s="6">
        <f t="shared" si="57"/>
        <v>0</v>
      </c>
      <c r="O63" s="11"/>
      <c r="P63" s="7">
        <v>228.04</v>
      </c>
      <c r="Q63" s="2"/>
      <c r="R63" s="6">
        <f t="shared" si="58"/>
        <v>5.4069549222044832E-3</v>
      </c>
      <c r="S63" s="2"/>
      <c r="T63" s="7">
        <v>719.55</v>
      </c>
      <c r="U63" s="2"/>
      <c r="V63" s="6">
        <f t="shared" si="59"/>
        <v>3.3791177053463836E-2</v>
      </c>
      <c r="W63" s="2"/>
      <c r="X63" s="7">
        <f t="shared" si="60"/>
        <v>-491.51</v>
      </c>
      <c r="Y63" s="2"/>
      <c r="Z63" s="6">
        <f t="shared" si="61"/>
        <v>-0.68307970259189776</v>
      </c>
    </row>
    <row r="64" spans="1:26" s="27" customFormat="1" outlineLevel="1" collapsed="1" x14ac:dyDescent="0.25">
      <c r="A64" s="29"/>
      <c r="B64" s="14" t="str">
        <f>CONCATENATE("     ","Inventory Adjustment                              ")</f>
        <v xml:space="preserve">     Inventory Adjustment                              </v>
      </c>
      <c r="C64" s="14"/>
      <c r="D64" s="1">
        <f>SUM(OSRRefD22_7x_0)</f>
        <v>650</v>
      </c>
      <c r="E64" s="1"/>
      <c r="F64" s="5">
        <f t="shared" si="54"/>
        <v>2.5330494759120629E-2</v>
      </c>
      <c r="G64" s="1"/>
      <c r="H64" s="1">
        <f>SUM(OSRRefH22_7x_0)</f>
        <v>0</v>
      </c>
      <c r="I64" s="1"/>
      <c r="J64" s="5">
        <f t="shared" si="55"/>
        <v>0</v>
      </c>
      <c r="K64" s="1"/>
      <c r="L64" s="1">
        <f t="shared" si="56"/>
        <v>650</v>
      </c>
      <c r="M64" s="1"/>
      <c r="N64" s="5">
        <f t="shared" si="57"/>
        <v>0</v>
      </c>
      <c r="O64" s="14"/>
      <c r="P64" s="1">
        <f>SUM(OSRRefP22_7x_0)</f>
        <v>1950</v>
      </c>
      <c r="Q64" s="1"/>
      <c r="R64" s="5">
        <f t="shared" si="58"/>
        <v>4.6235581907993081E-2</v>
      </c>
      <c r="S64" s="1"/>
      <c r="T64" s="1">
        <f>SUM(OSRRefT22_7x_0)</f>
        <v>0</v>
      </c>
      <c r="U64" s="1"/>
      <c r="V64" s="5">
        <f t="shared" si="59"/>
        <v>0</v>
      </c>
      <c r="W64" s="1"/>
      <c r="X64" s="1">
        <f t="shared" si="60"/>
        <v>1950</v>
      </c>
      <c r="Y64" s="1"/>
      <c r="Z64" s="5">
        <f t="shared" si="61"/>
        <v>0</v>
      </c>
    </row>
    <row r="65" spans="1:26" s="24" customFormat="1" hidden="1" outlineLevel="2" x14ac:dyDescent="0.25">
      <c r="A65" s="28"/>
      <c r="B65" s="11" t="str">
        <f>CONCATENATE("          ", "6408", " - ", "INVENTORY ADJUSTMENT")</f>
        <v xml:space="preserve">          6408 - INVENTORY ADJUSTMENT</v>
      </c>
      <c r="C65" s="11"/>
      <c r="D65" s="7">
        <v>650</v>
      </c>
      <c r="E65" s="2"/>
      <c r="F65" s="6">
        <f t="shared" si="54"/>
        <v>2.5330494759120629E-2</v>
      </c>
      <c r="G65" s="2"/>
      <c r="H65" s="7"/>
      <c r="I65" s="2"/>
      <c r="J65" s="6">
        <f t="shared" si="55"/>
        <v>0</v>
      </c>
      <c r="K65" s="2"/>
      <c r="L65" s="7">
        <f t="shared" si="56"/>
        <v>650</v>
      </c>
      <c r="M65" s="2"/>
      <c r="N65" s="6">
        <f t="shared" si="57"/>
        <v>0</v>
      </c>
      <c r="O65" s="11"/>
      <c r="P65" s="7">
        <v>1950</v>
      </c>
      <c r="Q65" s="2"/>
      <c r="R65" s="6">
        <f t="shared" si="58"/>
        <v>4.6235581907993081E-2</v>
      </c>
      <c r="S65" s="2"/>
      <c r="T65" s="7"/>
      <c r="U65" s="2"/>
      <c r="V65" s="6">
        <f t="shared" si="59"/>
        <v>0</v>
      </c>
      <c r="W65" s="2"/>
      <c r="X65" s="7">
        <f t="shared" si="60"/>
        <v>1950</v>
      </c>
      <c r="Y65" s="2"/>
      <c r="Z65" s="6">
        <f t="shared" si="61"/>
        <v>0</v>
      </c>
    </row>
    <row r="66" spans="1:26" s="27" customFormat="1" outlineLevel="1" collapsed="1" x14ac:dyDescent="0.25">
      <c r="A66" s="29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SUM(OSRRefD22_8x_0)</f>
        <v>61.11</v>
      </c>
      <c r="E66" s="1"/>
      <c r="F66" s="5">
        <f t="shared" si="54"/>
        <v>2.3814562072767102E-3</v>
      </c>
      <c r="G66" s="1"/>
      <c r="H66" s="1">
        <f>SUM(OSRRefH22_8x_0)</f>
        <v>61.11</v>
      </c>
      <c r="I66" s="1"/>
      <c r="J66" s="5">
        <f t="shared" si="55"/>
        <v>6.8693177219629319E-3</v>
      </c>
      <c r="K66" s="1"/>
      <c r="L66" s="1">
        <f t="shared" si="56"/>
        <v>0</v>
      </c>
      <c r="M66" s="1"/>
      <c r="N66" s="5">
        <f t="shared" si="57"/>
        <v>0</v>
      </c>
      <c r="O66" s="14"/>
      <c r="P66" s="1">
        <f>SUM(OSRRefP22_8x_0)</f>
        <v>234.79000000000002</v>
      </c>
      <c r="Q66" s="1"/>
      <c r="R66" s="5">
        <f t="shared" si="58"/>
        <v>5.5670011672706143E-3</v>
      </c>
      <c r="S66" s="1"/>
      <c r="T66" s="1">
        <f>SUM(OSRRefT22_8x_0)</f>
        <v>139.71</v>
      </c>
      <c r="U66" s="1"/>
      <c r="V66" s="5">
        <f t="shared" si="59"/>
        <v>6.5609969371682756E-3</v>
      </c>
      <c r="W66" s="1"/>
      <c r="X66" s="1">
        <f t="shared" si="60"/>
        <v>95.080000000000013</v>
      </c>
      <c r="Y66" s="1"/>
      <c r="Z66" s="5">
        <f t="shared" si="61"/>
        <v>0.68055257318731666</v>
      </c>
    </row>
    <row r="67" spans="1:26" s="24" customFormat="1" hidden="1" outlineLevel="2" x14ac:dyDescent="0.25">
      <c r="A67" s="28"/>
      <c r="B67" s="11" t="str">
        <f>CONCATENATE("          ", "6373", " - ", "MAINTENANCE CONTRACTS")</f>
        <v xml:space="preserve">          6373 - MAINTENANCE CONTRACTS</v>
      </c>
      <c r="C67" s="11"/>
      <c r="D67" s="7">
        <v>61.11</v>
      </c>
      <c r="E67" s="2"/>
      <c r="F67" s="6">
        <f t="shared" si="54"/>
        <v>2.3814562072767102E-3</v>
      </c>
      <c r="G67" s="2"/>
      <c r="H67" s="7">
        <v>61.11</v>
      </c>
      <c r="I67" s="2"/>
      <c r="J67" s="6">
        <f t="shared" si="55"/>
        <v>6.8693177219629319E-3</v>
      </c>
      <c r="K67" s="2"/>
      <c r="L67" s="7">
        <f t="shared" si="56"/>
        <v>0</v>
      </c>
      <c r="M67" s="2"/>
      <c r="N67" s="6">
        <f t="shared" si="57"/>
        <v>0</v>
      </c>
      <c r="O67" s="11"/>
      <c r="P67" s="7">
        <v>61.11</v>
      </c>
      <c r="Q67" s="2"/>
      <c r="R67" s="6">
        <f t="shared" si="58"/>
        <v>1.4489520053320294E-3</v>
      </c>
      <c r="S67" s="2"/>
      <c r="T67" s="7">
        <v>139.71</v>
      </c>
      <c r="U67" s="2"/>
      <c r="V67" s="6">
        <f t="shared" si="59"/>
        <v>6.5609969371682756E-3</v>
      </c>
      <c r="W67" s="2"/>
      <c r="X67" s="7">
        <f t="shared" si="60"/>
        <v>-78.600000000000009</v>
      </c>
      <c r="Y67" s="2"/>
      <c r="Z67" s="6">
        <f t="shared" si="61"/>
        <v>-0.56259394459952761</v>
      </c>
    </row>
    <row r="68" spans="1:26" s="24" customFormat="1" hidden="1" outlineLevel="2" x14ac:dyDescent="0.25">
      <c r="A68" s="28"/>
      <c r="B68" s="11" t="str">
        <f>CONCATENATE("          ", "6375", " - ", "OUTSIDE REPAIRS &amp; MAINTENANCE")</f>
        <v xml:space="preserve">          6375 - OUTSIDE REPAIRS &amp; MAINTENANCE</v>
      </c>
      <c r="C68" s="11"/>
      <c r="D68" s="7"/>
      <c r="E68" s="2"/>
      <c r="F68" s="6">
        <f t="shared" si="54"/>
        <v>0</v>
      </c>
      <c r="G68" s="2"/>
      <c r="H68" s="7"/>
      <c r="I68" s="2"/>
      <c r="J68" s="6">
        <f t="shared" si="55"/>
        <v>0</v>
      </c>
      <c r="K68" s="2"/>
      <c r="L68" s="7">
        <f t="shared" si="56"/>
        <v>0</v>
      </c>
      <c r="M68" s="2"/>
      <c r="N68" s="6">
        <f t="shared" si="57"/>
        <v>0</v>
      </c>
      <c r="O68" s="11"/>
      <c r="P68" s="7">
        <v>173.68</v>
      </c>
      <c r="Q68" s="2"/>
      <c r="R68" s="6">
        <f t="shared" si="58"/>
        <v>4.1180491619385844E-3</v>
      </c>
      <c r="S68" s="2"/>
      <c r="T68" s="7"/>
      <c r="U68" s="2"/>
      <c r="V68" s="6">
        <f t="shared" si="59"/>
        <v>0</v>
      </c>
      <c r="W68" s="2"/>
      <c r="X68" s="7">
        <f t="shared" si="60"/>
        <v>173.68</v>
      </c>
      <c r="Y68" s="2"/>
      <c r="Z68" s="6">
        <f t="shared" si="61"/>
        <v>0</v>
      </c>
    </row>
    <row r="69" spans="1:26" s="27" customFormat="1" outlineLevel="1" collapsed="1" x14ac:dyDescent="0.25">
      <c r="A69" s="29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SUM(OSRRefD22_9x_0)</f>
        <v>312.45</v>
      </c>
      <c r="E69" s="1"/>
      <c r="F69" s="5">
        <f t="shared" ref="F69:F71" si="62">IF(D$12=0,0,D69/D$12)</f>
        <v>1.2176173980749602E-2</v>
      </c>
      <c r="G69" s="1"/>
      <c r="H69" s="1">
        <f>SUM(OSRRefH22_9x_0)</f>
        <v>44</v>
      </c>
      <c r="I69" s="1"/>
      <c r="J69" s="5">
        <f t="shared" ref="J69:J71" si="63">IF(H$12=0,0,H69/H$12)</f>
        <v>4.9459986870621668E-3</v>
      </c>
      <c r="K69" s="1"/>
      <c r="L69" s="1">
        <f t="shared" ref="L69:L71" si="64">+D69-H69</f>
        <v>268.45</v>
      </c>
      <c r="M69" s="1"/>
      <c r="N69" s="5">
        <f t="shared" ref="N69:N71" si="65">IF(H69=0,0,L69/H69)</f>
        <v>6.1011363636363631</v>
      </c>
      <c r="O69" s="14"/>
      <c r="P69" s="1">
        <f>SUM(OSRRefP22_9x_0)</f>
        <v>2613.94</v>
      </c>
      <c r="Q69" s="1"/>
      <c r="R69" s="5">
        <f t="shared" ref="R69:R71" si="66">IF(P$12=0,0,P69/P$12)</f>
        <v>6.1977967678245871E-2</v>
      </c>
      <c r="S69" s="1"/>
      <c r="T69" s="1">
        <f>SUM(OSRRefT22_9x_0)</f>
        <v>-25.5</v>
      </c>
      <c r="U69" s="1"/>
      <c r="V69" s="5">
        <f t="shared" ref="V69:V71" si="67">IF(T$12=0,0,T69/T$12)</f>
        <v>-1.1975193035415577E-3</v>
      </c>
      <c r="W69" s="1"/>
      <c r="X69" s="1">
        <f t="shared" ref="X69:X71" si="68">+P69-T69</f>
        <v>2639.44</v>
      </c>
      <c r="Y69" s="1"/>
      <c r="Z69" s="5">
        <f t="shared" ref="Z69:Z71" si="69">IF(T69=0,0,X69/T69)</f>
        <v>-103.50745098039216</v>
      </c>
    </row>
    <row r="70" spans="1:26" s="24" customFormat="1" hidden="1" outlineLevel="2" x14ac:dyDescent="0.25">
      <c r="A70" s="28"/>
      <c r="B70" s="11" t="str">
        <f>CONCATENATE("          ", "6282", " - ", "JANITORIAL/EXTERMINATOR EXPENS")</f>
        <v xml:space="preserve">          6282 - JANITORIAL/EXTERMINATOR EXPENS</v>
      </c>
      <c r="C70" s="11"/>
      <c r="D70" s="7">
        <v>271.3</v>
      </c>
      <c r="E70" s="2"/>
      <c r="F70" s="6">
        <f t="shared" si="62"/>
        <v>1.057255881253758E-2</v>
      </c>
      <c r="G70" s="2"/>
      <c r="H70" s="7">
        <v>44</v>
      </c>
      <c r="I70" s="2"/>
      <c r="J70" s="6">
        <f t="shared" si="63"/>
        <v>4.9459986870621668E-3</v>
      </c>
      <c r="K70" s="2"/>
      <c r="L70" s="7">
        <f t="shared" si="64"/>
        <v>227.3</v>
      </c>
      <c r="M70" s="2"/>
      <c r="N70" s="6">
        <f t="shared" si="65"/>
        <v>5.165909090909091</v>
      </c>
      <c r="O70" s="11"/>
      <c r="P70" s="7">
        <v>271.3</v>
      </c>
      <c r="Q70" s="2"/>
      <c r="R70" s="6">
        <f t="shared" si="66"/>
        <v>6.4326735239171916E-3</v>
      </c>
      <c r="S70" s="2"/>
      <c r="T70" s="7">
        <v>132</v>
      </c>
      <c r="U70" s="2"/>
      <c r="V70" s="6">
        <f t="shared" si="67"/>
        <v>6.1989234536268863E-3</v>
      </c>
      <c r="W70" s="2"/>
      <c r="X70" s="7">
        <f t="shared" si="68"/>
        <v>139.30000000000001</v>
      </c>
      <c r="Y70" s="2"/>
      <c r="Z70" s="6">
        <f t="shared" si="69"/>
        <v>1.0553030303030304</v>
      </c>
    </row>
    <row r="71" spans="1:26" s="24" customFormat="1" hidden="1" outlineLevel="2" x14ac:dyDescent="0.25">
      <c r="A71" s="28"/>
      <c r="B71" s="11" t="str">
        <f>CONCATENATE("          ", "6285", " - ", "JANITORIAL SERVICES")</f>
        <v xml:space="preserve">          6285 - JANITORIAL SERVICES</v>
      </c>
      <c r="C71" s="11"/>
      <c r="D71" s="7">
        <v>41.15</v>
      </c>
      <c r="E71" s="2"/>
      <c r="F71" s="6">
        <f t="shared" si="62"/>
        <v>1.6036151682120214E-3</v>
      </c>
      <c r="G71" s="2"/>
      <c r="H71" s="7"/>
      <c r="I71" s="2"/>
      <c r="J71" s="6">
        <f t="shared" si="63"/>
        <v>0</v>
      </c>
      <c r="K71" s="2"/>
      <c r="L71" s="7">
        <f t="shared" si="64"/>
        <v>41.15</v>
      </c>
      <c r="M71" s="2"/>
      <c r="N71" s="6">
        <f t="shared" si="65"/>
        <v>0</v>
      </c>
      <c r="O71" s="11"/>
      <c r="P71" s="7">
        <v>2342.64</v>
      </c>
      <c r="Q71" s="2"/>
      <c r="R71" s="6">
        <f t="shared" si="66"/>
        <v>5.554529415432867E-2</v>
      </c>
      <c r="S71" s="2"/>
      <c r="T71" s="7">
        <v>-157.5</v>
      </c>
      <c r="U71" s="2"/>
      <c r="V71" s="6">
        <f t="shared" si="67"/>
        <v>-7.3964427571684447E-3</v>
      </c>
      <c r="W71" s="2"/>
      <c r="X71" s="7">
        <f t="shared" si="68"/>
        <v>2500.14</v>
      </c>
      <c r="Y71" s="2"/>
      <c r="Z71" s="6">
        <f t="shared" si="69"/>
        <v>-15.873904761904761</v>
      </c>
    </row>
    <row r="72" spans="1:26" s="27" customFormat="1" outlineLevel="1" collapsed="1" x14ac:dyDescent="0.25">
      <c r="A72" s="29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SUM(OSRRefD22_10x_0)</f>
        <v>148.38999999999999</v>
      </c>
      <c r="E72" s="1"/>
      <c r="F72" s="5">
        <f t="shared" ref="F72:F75" si="70">IF(D$12=0,0,D72/D$12)</f>
        <v>5.7827571035475537E-3</v>
      </c>
      <c r="G72" s="1"/>
      <c r="H72" s="1">
        <f>SUM(OSRRefH22_10x_0)</f>
        <v>418.01</v>
      </c>
      <c r="I72" s="1"/>
      <c r="J72" s="5">
        <f t="shared" ref="J72:J75" si="71">IF(H$12=0,0,H72/H$12)</f>
        <v>4.6988111617701278E-2</v>
      </c>
      <c r="K72" s="1"/>
      <c r="L72" s="1">
        <f t="shared" ref="L72:L75" si="72">+D72-H72</f>
        <v>-269.62</v>
      </c>
      <c r="M72" s="1"/>
      <c r="N72" s="5">
        <f t="shared" ref="N72:N75" si="73">IF(H72=0,0,L72/H72)</f>
        <v>-0.64500849261979376</v>
      </c>
      <c r="O72" s="14"/>
      <c r="P72" s="1">
        <f>SUM(OSRRefP22_10x_0)</f>
        <v>248.44</v>
      </c>
      <c r="Q72" s="1"/>
      <c r="R72" s="5">
        <f t="shared" ref="R72:R75" si="74">IF(P$12=0,0,P72/P$12)</f>
        <v>5.8906502406265646E-3</v>
      </c>
      <c r="S72" s="1"/>
      <c r="T72" s="1">
        <f>SUM(OSRRefT22_10x_0)</f>
        <v>1347.67</v>
      </c>
      <c r="U72" s="1"/>
      <c r="V72" s="5">
        <f t="shared" ref="V72:V75" si="75">IF(T$12=0,0,T72/T$12)</f>
        <v>6.3288660384464748E-2</v>
      </c>
      <c r="W72" s="1"/>
      <c r="X72" s="1">
        <f t="shared" ref="X72:X75" si="76">+P72-T72</f>
        <v>-1099.23</v>
      </c>
      <c r="Y72" s="1"/>
      <c r="Z72" s="5">
        <f t="shared" ref="Z72:Z75" si="77">IF(T72=0,0,X72/T72)</f>
        <v>-0.81565219972248393</v>
      </c>
    </row>
    <row r="73" spans="1:26" s="24" customFormat="1" hidden="1" outlineLevel="2" x14ac:dyDescent="0.25">
      <c r="A73" s="28"/>
      <c r="B73" s="11" t="str">
        <f>CONCATENATE("          ", "6235", " - ", "COVID-19 EXPENSES")</f>
        <v xml:space="preserve">          6235 - COVID-19 EXPENSES</v>
      </c>
      <c r="C73" s="11"/>
      <c r="D73" s="7"/>
      <c r="E73" s="2"/>
      <c r="F73" s="6">
        <f t="shared" si="70"/>
        <v>0</v>
      </c>
      <c r="G73" s="2"/>
      <c r="H73" s="7"/>
      <c r="I73" s="2"/>
      <c r="J73" s="6">
        <f t="shared" si="71"/>
        <v>0</v>
      </c>
      <c r="K73" s="2"/>
      <c r="L73" s="7">
        <f t="shared" si="72"/>
        <v>0</v>
      </c>
      <c r="M73" s="2"/>
      <c r="N73" s="6">
        <f t="shared" si="73"/>
        <v>0</v>
      </c>
      <c r="O73" s="11"/>
      <c r="P73" s="7"/>
      <c r="Q73" s="2"/>
      <c r="R73" s="6">
        <f t="shared" si="74"/>
        <v>0</v>
      </c>
      <c r="S73" s="2"/>
      <c r="T73" s="7">
        <v>444.3</v>
      </c>
      <c r="U73" s="2"/>
      <c r="V73" s="6">
        <f t="shared" si="75"/>
        <v>2.0865012806412318E-2</v>
      </c>
      <c r="W73" s="2"/>
      <c r="X73" s="7">
        <f t="shared" si="76"/>
        <v>-444.3</v>
      </c>
      <c r="Y73" s="2"/>
      <c r="Z73" s="6">
        <f t="shared" si="77"/>
        <v>-1</v>
      </c>
    </row>
    <row r="74" spans="1:26" s="24" customFormat="1" hidden="1" outlineLevel="2" x14ac:dyDescent="0.25">
      <c r="A74" s="28"/>
      <c r="B74" s="11" t="str">
        <f>CONCATENATE("          ", "6241", " - ", "OFFICE EXPENSE")</f>
        <v xml:space="preserve">          6241 - OFFICE EXPENSE</v>
      </c>
      <c r="C74" s="11"/>
      <c r="D74" s="7"/>
      <c r="E74" s="2"/>
      <c r="F74" s="6">
        <f t="shared" si="70"/>
        <v>0</v>
      </c>
      <c r="G74" s="2"/>
      <c r="H74" s="7"/>
      <c r="I74" s="2"/>
      <c r="J74" s="6">
        <f t="shared" si="71"/>
        <v>0</v>
      </c>
      <c r="K74" s="2"/>
      <c r="L74" s="7">
        <f t="shared" si="72"/>
        <v>0</v>
      </c>
      <c r="M74" s="2"/>
      <c r="N74" s="6">
        <f t="shared" si="73"/>
        <v>0</v>
      </c>
      <c r="O74" s="11"/>
      <c r="P74" s="7"/>
      <c r="Q74" s="2"/>
      <c r="R74" s="6">
        <f t="shared" si="74"/>
        <v>0</v>
      </c>
      <c r="S74" s="2"/>
      <c r="T74" s="7">
        <v>225.24</v>
      </c>
      <c r="U74" s="2"/>
      <c r="V74" s="6">
        <f t="shared" si="75"/>
        <v>1.0577617565870607E-2</v>
      </c>
      <c r="W74" s="2"/>
      <c r="X74" s="7">
        <f t="shared" si="76"/>
        <v>-225.24</v>
      </c>
      <c r="Y74" s="2"/>
      <c r="Z74" s="6">
        <f t="shared" si="77"/>
        <v>-1</v>
      </c>
    </row>
    <row r="75" spans="1:26" s="24" customFormat="1" hidden="1" outlineLevel="2" x14ac:dyDescent="0.25">
      <c r="A75" s="28"/>
      <c r="B75" s="11" t="str">
        <f>CONCATENATE("          ", "6247", " - ", "STORE SUPPLIES")</f>
        <v xml:space="preserve">          6247 - STORE SUPPLIES</v>
      </c>
      <c r="C75" s="11"/>
      <c r="D75" s="7">
        <v>148.38999999999999</v>
      </c>
      <c r="E75" s="2"/>
      <c r="F75" s="6">
        <f t="shared" si="70"/>
        <v>5.7827571035475537E-3</v>
      </c>
      <c r="G75" s="2"/>
      <c r="H75" s="7">
        <v>418.01</v>
      </c>
      <c r="I75" s="2"/>
      <c r="J75" s="6">
        <f t="shared" si="71"/>
        <v>4.6988111617701278E-2</v>
      </c>
      <c r="K75" s="2"/>
      <c r="L75" s="7">
        <f t="shared" si="72"/>
        <v>-269.62</v>
      </c>
      <c r="M75" s="2"/>
      <c r="N75" s="6">
        <f t="shared" si="73"/>
        <v>-0.64500849261979376</v>
      </c>
      <c r="O75" s="11"/>
      <c r="P75" s="7">
        <v>248.44</v>
      </c>
      <c r="Q75" s="2"/>
      <c r="R75" s="6">
        <f t="shared" si="74"/>
        <v>5.8906502406265646E-3</v>
      </c>
      <c r="S75" s="2"/>
      <c r="T75" s="7">
        <v>678.13</v>
      </c>
      <c r="U75" s="2"/>
      <c r="V75" s="6">
        <f t="shared" si="75"/>
        <v>3.1846030012181822E-2</v>
      </c>
      <c r="W75" s="2"/>
      <c r="X75" s="7">
        <f t="shared" si="76"/>
        <v>-429.69</v>
      </c>
      <c r="Y75" s="2"/>
      <c r="Z75" s="6">
        <f t="shared" si="77"/>
        <v>-0.63363956763452434</v>
      </c>
    </row>
    <row r="76" spans="1:26" s="27" customFormat="1" outlineLevel="1" collapsed="1" x14ac:dyDescent="0.25">
      <c r="A76" s="29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SUM(OSRRefD22_11x_0)</f>
        <v>53</v>
      </c>
      <c r="E76" s="1"/>
      <c r="F76" s="5">
        <f t="shared" ref="F76:F77" si="78">IF(D$12=0,0,D76/D$12)</f>
        <v>2.0654095726667589E-3</v>
      </c>
      <c r="G76" s="1"/>
      <c r="H76" s="1">
        <f>SUM(OSRRefH22_11x_0)</f>
        <v>100</v>
      </c>
      <c r="I76" s="1"/>
      <c r="J76" s="5">
        <f t="shared" ref="J76:J77" si="79">IF(H$12=0,0,H76/H$12)</f>
        <v>1.1240906106959469E-2</v>
      </c>
      <c r="K76" s="1"/>
      <c r="L76" s="1">
        <f t="shared" ref="L76:L77" si="80">+D76-H76</f>
        <v>-47</v>
      </c>
      <c r="M76" s="1"/>
      <c r="N76" s="5">
        <f t="shared" ref="N76:N77" si="81">IF(H76=0,0,L76/H76)</f>
        <v>-0.47</v>
      </c>
      <c r="O76" s="14"/>
      <c r="P76" s="1">
        <f>SUM(OSRRefP22_11x_0)</f>
        <v>119</v>
      </c>
      <c r="Q76" s="1"/>
      <c r="R76" s="5">
        <f t="shared" ref="R76:R77" si="82">IF(P$12=0,0,P76/P$12)</f>
        <v>2.8215560241288086E-3</v>
      </c>
      <c r="S76" s="1"/>
      <c r="T76" s="1">
        <f>SUM(OSRRefT22_11x_0)</f>
        <v>206</v>
      </c>
      <c r="U76" s="1"/>
      <c r="V76" s="5">
        <f t="shared" ref="V76:V77" si="83">IF(T$12=0,0,T76/T$12)</f>
        <v>9.6740775109631708E-3</v>
      </c>
      <c r="W76" s="1"/>
      <c r="X76" s="1">
        <f t="shared" ref="X76:X77" si="84">+P76-T76</f>
        <v>-87</v>
      </c>
      <c r="Y76" s="1"/>
      <c r="Z76" s="5">
        <f t="shared" ref="Z76:Z77" si="85">IF(T76=0,0,X76/T76)</f>
        <v>-0.42233009708737862</v>
      </c>
    </row>
    <row r="77" spans="1:26" s="24" customFormat="1" hidden="1" outlineLevel="2" x14ac:dyDescent="0.25">
      <c r="A77" s="28"/>
      <c r="B77" s="11" t="str">
        <f>CONCATENATE("          ", "6309", " - ", "TELEPHONE")</f>
        <v xml:space="preserve">          6309 - TELEPHONE</v>
      </c>
      <c r="C77" s="11"/>
      <c r="D77" s="7">
        <v>53</v>
      </c>
      <c r="E77" s="2"/>
      <c r="F77" s="6">
        <f t="shared" si="78"/>
        <v>2.0654095726667589E-3</v>
      </c>
      <c r="G77" s="2"/>
      <c r="H77" s="7">
        <v>100</v>
      </c>
      <c r="I77" s="2"/>
      <c r="J77" s="6">
        <f t="shared" si="79"/>
        <v>1.1240906106959469E-2</v>
      </c>
      <c r="K77" s="2"/>
      <c r="L77" s="7">
        <f t="shared" si="80"/>
        <v>-47</v>
      </c>
      <c r="M77" s="2"/>
      <c r="N77" s="6">
        <f t="shared" si="81"/>
        <v>-0.47</v>
      </c>
      <c r="O77" s="11"/>
      <c r="P77" s="7">
        <v>119</v>
      </c>
      <c r="Q77" s="2"/>
      <c r="R77" s="6">
        <f t="shared" si="82"/>
        <v>2.8215560241288086E-3</v>
      </c>
      <c r="S77" s="2"/>
      <c r="T77" s="7">
        <v>206</v>
      </c>
      <c r="U77" s="2"/>
      <c r="V77" s="6">
        <f t="shared" si="83"/>
        <v>9.6740775109631708E-3</v>
      </c>
      <c r="W77" s="2"/>
      <c r="X77" s="7">
        <f t="shared" si="84"/>
        <v>-87</v>
      </c>
      <c r="Y77" s="2"/>
      <c r="Z77" s="6">
        <f t="shared" si="85"/>
        <v>-0.42233009708737862</v>
      </c>
    </row>
    <row r="78" spans="1:26" s="54" customFormat="1" x14ac:dyDescent="0.25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6" t="s">
        <v>292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5" t="s">
        <v>276</v>
      </c>
      <c r="C81" s="25"/>
      <c r="D81" s="21">
        <f>+D41-D43+D79</f>
        <v>9541.3600000000042</v>
      </c>
      <c r="E81" s="13"/>
      <c r="F81" s="22">
        <f>IF(D$12=0,0,D81/D$12)</f>
        <v>0.37182672226905128</v>
      </c>
      <c r="G81" s="13"/>
      <c r="H81" s="21">
        <f>+H41-H43+H79</f>
        <v>147.47999999999956</v>
      </c>
      <c r="I81" s="13"/>
      <c r="J81" s="22">
        <f>IF(H$12=0,0,H81/H$12)</f>
        <v>1.6578088326543776E-2</v>
      </c>
      <c r="K81" s="16"/>
      <c r="L81" s="21">
        <f>+D81-H81</f>
        <v>9393.8800000000047</v>
      </c>
      <c r="M81" s="16"/>
      <c r="N81" s="22">
        <f>IF(H81=0,0,L81/H81)</f>
        <v>63.695958774071279</v>
      </c>
      <c r="O81" s="26"/>
      <c r="P81" s="21">
        <f>+P41-P43+P79</f>
        <v>12116.840000000007</v>
      </c>
      <c r="Q81" s="13"/>
      <c r="R81" s="22">
        <f>IF(P$12=0,0,P81/P$12)</f>
        <v>0.28729699912104989</v>
      </c>
      <c r="S81" s="13"/>
      <c r="T81" s="21">
        <f>+T41-T43+T79</f>
        <v>-3082.6999999999953</v>
      </c>
      <c r="U81" s="13"/>
      <c r="V81" s="22">
        <f>IF(T$12=0,0,T81/T$12)</f>
        <v>-0.14476834341284525</v>
      </c>
      <c r="W81" s="16"/>
      <c r="X81" s="21">
        <f>+P81-T81</f>
        <v>15199.540000000003</v>
      </c>
      <c r="Y81" s="16"/>
      <c r="Z81" s="22">
        <f>IF(T81=0,0,X81/T81)</f>
        <v>-4.9305933110584963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1"/>
      <c r="B83" s="10" t="s">
        <v>127</v>
      </c>
      <c r="C83" s="10"/>
      <c r="D83" s="4">
        <v>2752.46</v>
      </c>
      <c r="E83" s="4"/>
      <c r="F83" s="12">
        <f>IF(D$12=0,0,D83/D$12)</f>
        <v>0.10726334400721411</v>
      </c>
      <c r="G83" s="4"/>
      <c r="H83" s="4">
        <v>1851.59</v>
      </c>
      <c r="I83" s="4"/>
      <c r="J83" s="12">
        <f>IF(H$12=0,0,H83/H$12)</f>
        <v>0.20813549338585083</v>
      </c>
      <c r="K83" s="4"/>
      <c r="L83" s="4">
        <f>+D83-H83</f>
        <v>900.87000000000012</v>
      </c>
      <c r="M83" s="4"/>
      <c r="N83" s="12">
        <f>IF(H83=0,0,L83/H83)</f>
        <v>0.48653859655755333</v>
      </c>
      <c r="O83" s="10"/>
      <c r="P83" s="4">
        <v>5220.28</v>
      </c>
      <c r="Q83" s="4"/>
      <c r="R83" s="12">
        <f>IF(P$12=0,0,P83/P$12)</f>
        <v>0.12377573513982468</v>
      </c>
      <c r="S83" s="4"/>
      <c r="T83" s="4">
        <v>3944.82</v>
      </c>
      <c r="U83" s="4"/>
      <c r="V83" s="12">
        <f>IF(T$12=0,0,T83/T$12)</f>
        <v>0.18525482741163951</v>
      </c>
      <c r="W83" s="4"/>
      <c r="X83" s="4">
        <f>+P83-T83</f>
        <v>1275.4599999999996</v>
      </c>
      <c r="Y83" s="4"/>
      <c r="Z83" s="12">
        <f>IF(T83=0,0,X83/T83)</f>
        <v>0.32332527212901974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5" t="s">
        <v>125</v>
      </c>
      <c r="C85" s="25"/>
      <c r="D85" s="33">
        <f>+D81-D83</f>
        <v>6788.9000000000042</v>
      </c>
      <c r="E85" s="13"/>
      <c r="F85" s="35">
        <f>IF(D$12=0,0,D85/D$12)</f>
        <v>0.26456337826183718</v>
      </c>
      <c r="G85" s="13"/>
      <c r="H85" s="33">
        <f>+H81-H83</f>
        <v>-1704.1100000000004</v>
      </c>
      <c r="I85" s="13"/>
      <c r="J85" s="35">
        <f>IF(H$12=0,0,H85/H$12)</f>
        <v>-0.19155740505930707</v>
      </c>
      <c r="K85" s="16"/>
      <c r="L85" s="33">
        <f>D85-H85</f>
        <v>8493.0100000000039</v>
      </c>
      <c r="M85" s="16"/>
      <c r="N85" s="35">
        <f>IF(H85=0,0,L85/H85)</f>
        <v>-4.9838390714214471</v>
      </c>
      <c r="O85" s="26"/>
      <c r="P85" s="33">
        <f>+P81-P83</f>
        <v>6896.5600000000077</v>
      </c>
      <c r="Q85" s="13"/>
      <c r="R85" s="35">
        <f>IF(P$12=0,0,P85/P$12)</f>
        <v>0.16352126398122518</v>
      </c>
      <c r="S85" s="13"/>
      <c r="T85" s="33">
        <f>+T81-T83</f>
        <v>-7027.519999999995</v>
      </c>
      <c r="U85" s="13"/>
      <c r="V85" s="35">
        <f>IF(T$12=0,0,T85/T$12)</f>
        <v>-0.33002317082448474</v>
      </c>
      <c r="W85" s="16"/>
      <c r="X85" s="33">
        <f>P85-T85</f>
        <v>13924.080000000002</v>
      </c>
      <c r="Y85" s="16"/>
      <c r="Z85" s="35">
        <f>IF(T85=0,0,X85/T85)</f>
        <v>-1.9813646919539201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5" t="s">
        <v>293</v>
      </c>
      <c r="C88" s="25"/>
      <c r="D88" s="31">
        <f>SUM(D85:D87)</f>
        <v>6788.9000000000042</v>
      </c>
      <c r="E88" s="13"/>
      <c r="F88" s="32">
        <f>IF(D$12=0,0,D88/D$12)</f>
        <v>0.26456337826183718</v>
      </c>
      <c r="G88" s="13"/>
      <c r="H88" s="31">
        <f>SUM(H85:H87)</f>
        <v>-1704.1100000000004</v>
      </c>
      <c r="I88" s="13"/>
      <c r="J88" s="32">
        <f>IF(H$12=0,0,H88/H$12)</f>
        <v>-0.19155740505930707</v>
      </c>
      <c r="K88" s="16"/>
      <c r="L88" s="31">
        <f>+D88-H88</f>
        <v>8493.0100000000039</v>
      </c>
      <c r="M88" s="16"/>
      <c r="N88" s="32">
        <f>IF(H88=0,0,L88/H88)</f>
        <v>-4.9838390714214471</v>
      </c>
      <c r="O88" s="26"/>
      <c r="P88" s="31">
        <f>SUM(P85:P87)</f>
        <v>6896.5600000000077</v>
      </c>
      <c r="Q88" s="13"/>
      <c r="R88" s="32">
        <f>IF(P$12=0,0,P88/P$12)</f>
        <v>0.16352126398122518</v>
      </c>
      <c r="S88" s="13"/>
      <c r="T88" s="31">
        <f>SUM(T85:T87)</f>
        <v>-7027.519999999995</v>
      </c>
      <c r="U88" s="13"/>
      <c r="V88" s="32">
        <f>IF(T$12=0,0,T88/T$12)</f>
        <v>-0.33002317082448474</v>
      </c>
      <c r="W88" s="16"/>
      <c r="X88" s="31">
        <f>+P88-T88</f>
        <v>13924.080000000002</v>
      </c>
      <c r="Y88" s="16"/>
      <c r="Z88" s="32">
        <f>IF(T88=0,0,X88/T88)</f>
        <v>-1.9813646919539201</v>
      </c>
    </row>
    <row r="89" spans="1:26" ht="15.75" thickTop="1" x14ac:dyDescent="0.25">
      <c r="A89" s="9"/>
      <c r="C89" s="9"/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8">
        <v>44481.985637152779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3" t="s">
        <v>56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2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","307", " - ", "Art Store")</f>
        <v>Department 307 - Art Store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25660.770000000004</v>
      </c>
      <c r="E12" s="4"/>
      <c r="F12" s="12"/>
      <c r="G12" s="4"/>
      <c r="H12" s="4">
        <f>SUM(OSRRefH13x_0)</f>
        <v>8896.08</v>
      </c>
      <c r="I12" s="4"/>
      <c r="J12" s="12"/>
      <c r="K12" s="4"/>
      <c r="L12" s="4">
        <f t="shared" ref="L12:L24" si="0">+D12-H12</f>
        <v>16764.690000000002</v>
      </c>
      <c r="M12" s="4"/>
      <c r="N12" s="12">
        <f t="shared" ref="N12:N24" si="1">IF(H12=0,0,L12/H12)</f>
        <v>1.8845030620228238</v>
      </c>
      <c r="O12" s="10"/>
      <c r="P12" s="4">
        <f>SUM(OSRRefP13x_0)</f>
        <v>42175.310000000005</v>
      </c>
      <c r="Q12" s="4"/>
      <c r="R12" s="12"/>
      <c r="S12" s="4"/>
      <c r="T12" s="4">
        <f>SUM(OSRRefT13x_0)</f>
        <v>21294.02</v>
      </c>
      <c r="U12" s="4"/>
      <c r="V12" s="12"/>
      <c r="W12" s="4"/>
      <c r="X12" s="4">
        <f t="shared" ref="X12:X24" si="2">+P12-T12</f>
        <v>20881.290000000005</v>
      </c>
      <c r="Y12" s="4"/>
      <c r="Z12" s="12">
        <f t="shared" ref="Z12:Z24" si="3">IF(T12=0,0,X12/T12)</f>
        <v>0.98061756305291359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--19683.79</f>
        <v>19683.79</v>
      </c>
      <c r="E13" s="2"/>
      <c r="F13" s="19"/>
      <c r="G13" s="2"/>
      <c r="H13" s="2">
        <f>-25.17</f>
        <v>-25.17</v>
      </c>
      <c r="I13" s="2"/>
      <c r="J13" s="19"/>
      <c r="K13" s="2"/>
      <c r="L13" s="2">
        <f t="shared" si="0"/>
        <v>19708.96</v>
      </c>
      <c r="M13" s="2"/>
      <c r="N13" s="19">
        <f t="shared" si="1"/>
        <v>-783.03377036154143</v>
      </c>
      <c r="O13" s="11"/>
      <c r="P13" s="2">
        <f>--34836.37</f>
        <v>34836.370000000003</v>
      </c>
      <c r="Q13" s="2"/>
      <c r="R13" s="19"/>
      <c r="S13" s="2"/>
      <c r="T13" s="2">
        <f>-1094.7</f>
        <v>-1094.7</v>
      </c>
      <c r="U13" s="2"/>
      <c r="V13" s="19"/>
      <c r="W13" s="2"/>
      <c r="X13" s="2">
        <f t="shared" si="2"/>
        <v>35931.07</v>
      </c>
      <c r="Y13" s="2"/>
      <c r="Z13" s="19">
        <f t="shared" si="3"/>
        <v>-32.822755092719461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19" si="4">0</f>
        <v>0</v>
      </c>
      <c r="E14" s="2"/>
      <c r="F14" s="19"/>
      <c r="G14" s="2"/>
      <c r="H14" s="2">
        <f>--17.51</f>
        <v>17.510000000000002</v>
      </c>
      <c r="I14" s="2"/>
      <c r="J14" s="19"/>
      <c r="K14" s="2"/>
      <c r="L14" s="2">
        <f t="shared" si="0"/>
        <v>-17.510000000000002</v>
      </c>
      <c r="M14" s="2"/>
      <c r="N14" s="19">
        <f t="shared" si="1"/>
        <v>-1</v>
      </c>
      <c r="O14" s="11"/>
      <c r="P14" s="2">
        <f t="shared" ref="P14:P19" si="5">0</f>
        <v>0</v>
      </c>
      <c r="Q14" s="2"/>
      <c r="R14" s="19"/>
      <c r="S14" s="2"/>
      <c r="T14" s="2">
        <f>--17.51</f>
        <v>17.510000000000002</v>
      </c>
      <c r="U14" s="2"/>
      <c r="V14" s="19"/>
      <c r="W14" s="2"/>
      <c r="X14" s="2">
        <f t="shared" si="2"/>
        <v>-17.510000000000002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--4601.45</f>
        <v>4601.45</v>
      </c>
      <c r="I15" s="2"/>
      <c r="J15" s="19"/>
      <c r="K15" s="2"/>
      <c r="L15" s="2">
        <f t="shared" si="0"/>
        <v>-4601.45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--7990.32</f>
        <v>7990.32</v>
      </c>
      <c r="U15" s="2"/>
      <c r="V15" s="19"/>
      <c r="W15" s="2"/>
      <c r="X15" s="2">
        <f t="shared" si="2"/>
        <v>-7990.32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--2807.8</f>
        <v>2807.8</v>
      </c>
      <c r="I16" s="2"/>
      <c r="J16" s="19"/>
      <c r="K16" s="2"/>
      <c r="L16" s="2">
        <f t="shared" si="0"/>
        <v>-2807.8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--12479.05</f>
        <v>12479.05</v>
      </c>
      <c r="U16" s="2"/>
      <c r="V16" s="19"/>
      <c r="W16" s="2"/>
      <c r="X16" s="2">
        <f t="shared" si="2"/>
        <v>-12479.05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--244.33</f>
        <v>244.33</v>
      </c>
      <c r="I17" s="2"/>
      <c r="J17" s="19"/>
      <c r="K17" s="2"/>
      <c r="L17" s="2">
        <f t="shared" si="0"/>
        <v>-244.33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--369.37</f>
        <v>369.37</v>
      </c>
      <c r="U17" s="2"/>
      <c r="V17" s="19"/>
      <c r="W17" s="2"/>
      <c r="X17" s="2">
        <f t="shared" si="2"/>
        <v>-369.37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19"/>
      <c r="G18" s="2"/>
      <c r="H18" s="2">
        <f>--71.95</f>
        <v>71.95</v>
      </c>
      <c r="I18" s="2"/>
      <c r="J18" s="19"/>
      <c r="K18" s="2"/>
      <c r="L18" s="2">
        <f t="shared" si="0"/>
        <v>-71.95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--71.95</f>
        <v>71.95</v>
      </c>
      <c r="U18" s="2"/>
      <c r="V18" s="19"/>
      <c r="W18" s="2"/>
      <c r="X18" s="2">
        <f t="shared" si="2"/>
        <v>-71.95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19"/>
      <c r="G19" s="2"/>
      <c r="H19" s="2">
        <f>--9.99</f>
        <v>9.99</v>
      </c>
      <c r="I19" s="2"/>
      <c r="J19" s="19"/>
      <c r="K19" s="2"/>
      <c r="L19" s="2">
        <f t="shared" si="0"/>
        <v>-9.99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--9.99</f>
        <v>9.99</v>
      </c>
      <c r="U19" s="2"/>
      <c r="V19" s="19"/>
      <c r="W19" s="2"/>
      <c r="X19" s="2">
        <f t="shared" si="2"/>
        <v>-9.99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>--6374.4</f>
        <v>6374.4</v>
      </c>
      <c r="E20" s="2"/>
      <c r="F20" s="19"/>
      <c r="G20" s="2"/>
      <c r="H20" s="2">
        <f>0</f>
        <v>0</v>
      </c>
      <c r="I20" s="2"/>
      <c r="J20" s="19"/>
      <c r="K20" s="2"/>
      <c r="L20" s="2">
        <f t="shared" si="0"/>
        <v>6374.4</v>
      </c>
      <c r="M20" s="2"/>
      <c r="N20" s="19">
        <f t="shared" si="1"/>
        <v>0</v>
      </c>
      <c r="O20" s="11"/>
      <c r="P20" s="2">
        <f>--8002.93</f>
        <v>8002.93</v>
      </c>
      <c r="Q20" s="2"/>
      <c r="R20" s="19"/>
      <c r="S20" s="2"/>
      <c r="T20" s="2">
        <f>0</f>
        <v>0</v>
      </c>
      <c r="U20" s="2"/>
      <c r="V20" s="19"/>
      <c r="W20" s="2"/>
      <c r="X20" s="2">
        <f t="shared" si="2"/>
        <v>8002.93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"4131", " - ", "NON-TAXABLE SALES-FOOD")</f>
        <v xml:space="preserve">          4131 - NON-TAXABLE SALES-FOOD</v>
      </c>
      <c r="C21" s="11"/>
      <c r="D21" s="2">
        <f>0</f>
        <v>0</v>
      </c>
      <c r="E21" s="2"/>
      <c r="F21" s="19"/>
      <c r="G21" s="2"/>
      <c r="H21" s="2">
        <f>--1245.56</f>
        <v>1245.56</v>
      </c>
      <c r="I21" s="2"/>
      <c r="J21" s="19"/>
      <c r="K21" s="2"/>
      <c r="L21" s="2">
        <f t="shared" si="0"/>
        <v>-1245.56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--1832.7</f>
        <v>1832.7</v>
      </c>
      <c r="U21" s="2"/>
      <c r="V21" s="19"/>
      <c r="W21" s="2"/>
      <c r="X21" s="2">
        <f t="shared" si="2"/>
        <v>-1832.7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"4200", " - ", "TAXABLE RETURNS")</f>
        <v xml:space="preserve">          4200 - TAXABLE RETURNS</v>
      </c>
      <c r="C22" s="11"/>
      <c r="D22" s="2">
        <f>-397.42</f>
        <v>-397.42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-397.42</v>
      </c>
      <c r="M22" s="2"/>
      <c r="N22" s="19">
        <f t="shared" si="1"/>
        <v>0</v>
      </c>
      <c r="O22" s="11"/>
      <c r="P22" s="2">
        <f>-663.99</f>
        <v>-663.99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-663.99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"4227", " - ", "SALES RETURN TAXABLE-SCHOOL SU")</f>
        <v xml:space="preserve">          4227 - SALES RETURN TAXABLE-SCHOOL SU</v>
      </c>
      <c r="C23" s="11"/>
      <c r="D23" s="2">
        <f t="shared" ref="D23:D24" si="6">0</f>
        <v>0</v>
      </c>
      <c r="E23" s="2"/>
      <c r="F23" s="19"/>
      <c r="G23" s="2"/>
      <c r="H23" s="2">
        <f>-19.58</f>
        <v>-19.579999999999998</v>
      </c>
      <c r="I23" s="2"/>
      <c r="J23" s="19"/>
      <c r="K23" s="2"/>
      <c r="L23" s="2">
        <f t="shared" si="0"/>
        <v>19.579999999999998</v>
      </c>
      <c r="M23" s="2"/>
      <c r="N23" s="19">
        <f t="shared" si="1"/>
        <v>-1</v>
      </c>
      <c r="O23" s="11"/>
      <c r="P23" s="2">
        <f t="shared" ref="P23:P24" si="7">0</f>
        <v>0</v>
      </c>
      <c r="Q23" s="2"/>
      <c r="R23" s="19"/>
      <c r="S23" s="2"/>
      <c r="T23" s="2">
        <f>-159.97</f>
        <v>-159.97</v>
      </c>
      <c r="U23" s="2"/>
      <c r="V23" s="19"/>
      <c r="W23" s="2"/>
      <c r="X23" s="2">
        <f t="shared" si="2"/>
        <v>159.97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"4228", " - ", "SALES RETURN TAXABLE-ART/TECH")</f>
        <v xml:space="preserve">          4228 - SALES RETURN TAXABLE-ART/TECH</v>
      </c>
      <c r="C24" s="11"/>
      <c r="D24" s="2">
        <f t="shared" si="6"/>
        <v>0</v>
      </c>
      <c r="E24" s="2"/>
      <c r="F24" s="19"/>
      <c r="G24" s="2"/>
      <c r="H24" s="2">
        <f>-57.76</f>
        <v>-57.76</v>
      </c>
      <c r="I24" s="2"/>
      <c r="J24" s="19"/>
      <c r="K24" s="2"/>
      <c r="L24" s="2">
        <f t="shared" si="0"/>
        <v>57.76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-222.2</f>
        <v>-222.2</v>
      </c>
      <c r="U24" s="2"/>
      <c r="V24" s="19"/>
      <c r="W24" s="2"/>
      <c r="X24" s="2">
        <f t="shared" si="2"/>
        <v>222.2</v>
      </c>
      <c r="Y24" s="2"/>
      <c r="Z24" s="19">
        <f t="shared" si="3"/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6" t="s">
        <v>256</v>
      </c>
      <c r="C26" s="10"/>
      <c r="D26" s="4">
        <f>SUM(OSRRefD16x_0)</f>
        <v>14774.61</v>
      </c>
      <c r="E26" s="4"/>
      <c r="F26" s="12">
        <f t="shared" ref="F26:F36" si="8">IF(D$12=0,0,D26/D$12)</f>
        <v>0.57576643257392501</v>
      </c>
      <c r="G26" s="4"/>
      <c r="H26" s="4">
        <f>SUM(OSRRefH16x_0)</f>
        <v>5140</v>
      </c>
      <c r="I26" s="4"/>
      <c r="J26" s="12">
        <f t="shared" ref="J26:J36" si="9">IF(H$12=0,0,H26/H$12)</f>
        <v>0.5777825738977167</v>
      </c>
      <c r="K26" s="4"/>
      <c r="L26" s="4">
        <f t="shared" ref="L26:L36" si="10">+D26-H26</f>
        <v>9634.61</v>
      </c>
      <c r="M26" s="4"/>
      <c r="N26" s="12">
        <f t="shared" ref="N26:N36" si="11">IF(H26=0,0,L26/H26)</f>
        <v>1.8744377431906616</v>
      </c>
      <c r="O26" s="10"/>
      <c r="P26" s="4">
        <f>SUM(OSRRefP16x_0)</f>
        <v>24460.17</v>
      </c>
      <c r="Q26" s="4"/>
      <c r="R26" s="12">
        <f t="shared" ref="R26:R36" si="12">IF(P$12=0,0,P26/P$12)</f>
        <v>0.57996420180432573</v>
      </c>
      <c r="S26" s="4"/>
      <c r="T26" s="4">
        <f>SUM(OSRRefT16x_0)</f>
        <v>14183.05</v>
      </c>
      <c r="U26" s="4"/>
      <c r="V26" s="12">
        <f t="shared" ref="V26:V36" si="13">IF(T$12=0,0,T26/T$12)</f>
        <v>0.66605788855274861</v>
      </c>
      <c r="W26" s="4"/>
      <c r="X26" s="4">
        <f t="shared" ref="X26:X36" si="14">+P26-T26</f>
        <v>10277.119999999999</v>
      </c>
      <c r="Y26" s="4"/>
      <c r="Z26" s="12">
        <f t="shared" ref="Z26:Z36" si="15">IF(T26=0,0,X26/T26)</f>
        <v>0.7246057794339017</v>
      </c>
    </row>
    <row r="27" spans="1:26" s="24" customFormat="1" hidden="1" outlineLevel="1" x14ac:dyDescent="0.25">
      <c r="A27" s="44"/>
      <c r="B27" s="11" t="str">
        <f>CONCATENATE("          ", "5000", " - ", "PURCHASES @ COST")</f>
        <v xml:space="preserve">          5000 - PURCHASES @ COST</v>
      </c>
      <c r="C27" s="11"/>
      <c r="D27" s="2">
        <v>11537.82</v>
      </c>
      <c r="E27" s="2"/>
      <c r="F27" s="19">
        <f t="shared" si="8"/>
        <v>0.44962875237181105</v>
      </c>
      <c r="G27" s="2"/>
      <c r="H27" s="2"/>
      <c r="I27" s="2"/>
      <c r="J27" s="19">
        <f t="shared" si="9"/>
        <v>0</v>
      </c>
      <c r="K27" s="2"/>
      <c r="L27" s="2">
        <f t="shared" si="10"/>
        <v>11537.82</v>
      </c>
      <c r="M27" s="2"/>
      <c r="N27" s="19">
        <f t="shared" si="11"/>
        <v>0</v>
      </c>
      <c r="O27" s="11"/>
      <c r="P27" s="2">
        <v>25233.11</v>
      </c>
      <c r="Q27" s="2"/>
      <c r="R27" s="19">
        <f t="shared" si="12"/>
        <v>0.59829103805046124</v>
      </c>
      <c r="S27" s="2"/>
      <c r="T27" s="2"/>
      <c r="U27" s="2"/>
      <c r="V27" s="19">
        <f t="shared" si="13"/>
        <v>0</v>
      </c>
      <c r="W27" s="2"/>
      <c r="X27" s="2">
        <f t="shared" si="14"/>
        <v>25233.11</v>
      </c>
      <c r="Y27" s="2"/>
      <c r="Z27" s="19">
        <f t="shared" si="15"/>
        <v>0</v>
      </c>
    </row>
    <row r="28" spans="1:26" s="24" customFormat="1" hidden="1" outlineLevel="1" x14ac:dyDescent="0.25">
      <c r="A28" s="44"/>
      <c r="B28" s="11" t="str">
        <f>CONCATENATE("          ", "5026", " - ", "PURCHASES @ COST-WRITING INSTR")</f>
        <v xml:space="preserve">          5026 - PURCHASES @ COST-WRITING INSTR</v>
      </c>
      <c r="C28" s="11"/>
      <c r="D28" s="2"/>
      <c r="E28" s="2"/>
      <c r="F28" s="19">
        <f t="shared" si="8"/>
        <v>0</v>
      </c>
      <c r="G28" s="2"/>
      <c r="H28" s="2"/>
      <c r="I28" s="2"/>
      <c r="J28" s="19">
        <f t="shared" si="9"/>
        <v>0</v>
      </c>
      <c r="K28" s="2"/>
      <c r="L28" s="2">
        <f t="shared" si="10"/>
        <v>0</v>
      </c>
      <c r="M28" s="2"/>
      <c r="N28" s="19">
        <f t="shared" si="11"/>
        <v>0</v>
      </c>
      <c r="O28" s="11"/>
      <c r="P28" s="2">
        <v>0</v>
      </c>
      <c r="Q28" s="2"/>
      <c r="R28" s="19">
        <f t="shared" si="12"/>
        <v>0</v>
      </c>
      <c r="S28" s="2"/>
      <c r="T28" s="2"/>
      <c r="U28" s="2"/>
      <c r="V28" s="19">
        <f t="shared" si="13"/>
        <v>0</v>
      </c>
      <c r="W28" s="2"/>
      <c r="X28" s="2">
        <f t="shared" si="14"/>
        <v>0</v>
      </c>
      <c r="Y28" s="2"/>
      <c r="Z28" s="19">
        <f t="shared" si="15"/>
        <v>0</v>
      </c>
    </row>
    <row r="29" spans="1:26" s="24" customFormat="1" hidden="1" outlineLevel="1" x14ac:dyDescent="0.25">
      <c r="A29" s="44"/>
      <c r="B29" s="11" t="str">
        <f>CONCATENATE("          ", "5027", " - ", "PURCHASES @ COST-SCHOOL SUPPLI")</f>
        <v xml:space="preserve">          5027 - PURCHASES @ COST-SCHOOL SUPPLI</v>
      </c>
      <c r="C29" s="11"/>
      <c r="D29" s="2"/>
      <c r="E29" s="2"/>
      <c r="F29" s="19">
        <f t="shared" si="8"/>
        <v>0</v>
      </c>
      <c r="G29" s="2"/>
      <c r="H29" s="2"/>
      <c r="I29" s="2"/>
      <c r="J29" s="19">
        <f t="shared" si="9"/>
        <v>0</v>
      </c>
      <c r="K29" s="2"/>
      <c r="L29" s="2">
        <f t="shared" si="10"/>
        <v>0</v>
      </c>
      <c r="M29" s="2"/>
      <c r="N29" s="19">
        <f t="shared" si="11"/>
        <v>0</v>
      </c>
      <c r="O29" s="11"/>
      <c r="P29" s="2">
        <v>0</v>
      </c>
      <c r="Q29" s="2"/>
      <c r="R29" s="19">
        <f t="shared" si="12"/>
        <v>0</v>
      </c>
      <c r="S29" s="2"/>
      <c r="T29" s="2"/>
      <c r="U29" s="2"/>
      <c r="V29" s="19">
        <f t="shared" si="13"/>
        <v>0</v>
      </c>
      <c r="W29" s="2"/>
      <c r="X29" s="2">
        <f t="shared" si="14"/>
        <v>0</v>
      </c>
      <c r="Y29" s="2"/>
      <c r="Z29" s="19">
        <f t="shared" si="15"/>
        <v>0</v>
      </c>
    </row>
    <row r="30" spans="1:26" s="24" customFormat="1" hidden="1" outlineLevel="1" x14ac:dyDescent="0.25">
      <c r="A30" s="44"/>
      <c r="B30" s="11" t="str">
        <f>CONCATENATE("          ", "5028", " - ", "PURCHASES @ COST-ART/TECH")</f>
        <v xml:space="preserve">          5028 - PURCHASES @ COST-ART/TECH</v>
      </c>
      <c r="C30" s="11"/>
      <c r="D30" s="2">
        <v>0</v>
      </c>
      <c r="E30" s="2"/>
      <c r="F30" s="19">
        <f t="shared" si="8"/>
        <v>0</v>
      </c>
      <c r="G30" s="2"/>
      <c r="H30" s="2"/>
      <c r="I30" s="2"/>
      <c r="J30" s="19">
        <f t="shared" si="9"/>
        <v>0</v>
      </c>
      <c r="K30" s="2"/>
      <c r="L30" s="2">
        <f t="shared" si="10"/>
        <v>0</v>
      </c>
      <c r="M30" s="2"/>
      <c r="N30" s="19">
        <f t="shared" si="11"/>
        <v>0</v>
      </c>
      <c r="O30" s="11"/>
      <c r="P30" s="2">
        <v>0</v>
      </c>
      <c r="Q30" s="2"/>
      <c r="R30" s="19">
        <f t="shared" si="12"/>
        <v>0</v>
      </c>
      <c r="S30" s="2"/>
      <c r="T30" s="2"/>
      <c r="U30" s="2"/>
      <c r="V30" s="19">
        <f t="shared" si="13"/>
        <v>0</v>
      </c>
      <c r="W30" s="2"/>
      <c r="X30" s="2">
        <f t="shared" si="14"/>
        <v>0</v>
      </c>
      <c r="Y30" s="2"/>
      <c r="Z30" s="19">
        <f t="shared" si="15"/>
        <v>0</v>
      </c>
    </row>
    <row r="31" spans="1:26" s="24" customFormat="1" hidden="1" outlineLevel="1" x14ac:dyDescent="0.25">
      <c r="A31" s="44"/>
      <c r="B31" s="11" t="str">
        <f>CONCATENATE("          ", "5031", " - ", "PURCHASES @ COST-FOOD")</f>
        <v xml:space="preserve">          5031 - PURCHASES @ COST-FOOD</v>
      </c>
      <c r="C31" s="11"/>
      <c r="D31" s="2">
        <v>0</v>
      </c>
      <c r="E31" s="2"/>
      <c r="F31" s="19">
        <f t="shared" si="8"/>
        <v>0</v>
      </c>
      <c r="G31" s="2"/>
      <c r="H31" s="2">
        <v>2882.41</v>
      </c>
      <c r="I31" s="2"/>
      <c r="J31" s="19">
        <f t="shared" si="9"/>
        <v>0.32400900171761043</v>
      </c>
      <c r="K31" s="2"/>
      <c r="L31" s="2">
        <f t="shared" si="10"/>
        <v>-2882.41</v>
      </c>
      <c r="M31" s="2"/>
      <c r="N31" s="19">
        <f t="shared" si="11"/>
        <v>-1</v>
      </c>
      <c r="O31" s="11"/>
      <c r="P31" s="2">
        <v>0</v>
      </c>
      <c r="Q31" s="2"/>
      <c r="R31" s="19">
        <f t="shared" si="12"/>
        <v>0</v>
      </c>
      <c r="S31" s="2"/>
      <c r="T31" s="2">
        <v>2882.41</v>
      </c>
      <c r="U31" s="2"/>
      <c r="V31" s="19">
        <f t="shared" si="13"/>
        <v>0.13536241630279297</v>
      </c>
      <c r="W31" s="2"/>
      <c r="X31" s="2">
        <f t="shared" si="14"/>
        <v>-2882.41</v>
      </c>
      <c r="Y31" s="2"/>
      <c r="Z31" s="19">
        <f t="shared" si="15"/>
        <v>-1</v>
      </c>
    </row>
    <row r="32" spans="1:26" s="24" customFormat="1" hidden="1" outlineLevel="1" x14ac:dyDescent="0.25">
      <c r="A32" s="44"/>
      <c r="B32" s="11" t="str">
        <f>CONCATENATE("          ", "5042", " - ", "PURCHASES @ COST-EVERYDAY GIFT")</f>
        <v xml:space="preserve">          5042 - PURCHASES @ COST-EVERYDAY GIFT</v>
      </c>
      <c r="C32" s="11"/>
      <c r="D32" s="2"/>
      <c r="E32" s="2"/>
      <c r="F32" s="19">
        <f t="shared" si="8"/>
        <v>0</v>
      </c>
      <c r="G32" s="2"/>
      <c r="H32" s="2"/>
      <c r="I32" s="2"/>
      <c r="J32" s="19">
        <f t="shared" si="9"/>
        <v>0</v>
      </c>
      <c r="K32" s="2"/>
      <c r="L32" s="2">
        <f t="shared" si="10"/>
        <v>0</v>
      </c>
      <c r="M32" s="2"/>
      <c r="N32" s="19">
        <f t="shared" si="11"/>
        <v>0</v>
      </c>
      <c r="O32" s="11"/>
      <c r="P32" s="2">
        <v>0</v>
      </c>
      <c r="Q32" s="2"/>
      <c r="R32" s="19">
        <f t="shared" si="12"/>
        <v>0</v>
      </c>
      <c r="S32" s="2"/>
      <c r="T32" s="2"/>
      <c r="U32" s="2"/>
      <c r="V32" s="19">
        <f t="shared" si="13"/>
        <v>0</v>
      </c>
      <c r="W32" s="2"/>
      <c r="X32" s="2">
        <f t="shared" si="14"/>
        <v>0</v>
      </c>
      <c r="Y32" s="2"/>
      <c r="Z32" s="19">
        <f t="shared" si="15"/>
        <v>0</v>
      </c>
    </row>
    <row r="33" spans="1:26" s="24" customFormat="1" hidden="1" outlineLevel="1" x14ac:dyDescent="0.25">
      <c r="A33" s="44"/>
      <c r="B33" s="11" t="str">
        <f>CONCATENATE("          ", "5200", " - ", "PURCHASES OFFSET")</f>
        <v xml:space="preserve">          5200 - PURCHASES OFFSET</v>
      </c>
      <c r="C33" s="11"/>
      <c r="D33" s="2">
        <v>-11589.14</v>
      </c>
      <c r="E33" s="2"/>
      <c r="F33" s="19">
        <f t="shared" si="8"/>
        <v>-0.45162869235802344</v>
      </c>
      <c r="G33" s="2"/>
      <c r="H33" s="2">
        <v>-2889.17</v>
      </c>
      <c r="I33" s="2"/>
      <c r="J33" s="19">
        <f t="shared" si="9"/>
        <v>-0.32476888697044093</v>
      </c>
      <c r="K33" s="2"/>
      <c r="L33" s="2">
        <f t="shared" si="10"/>
        <v>-8699.9699999999993</v>
      </c>
      <c r="M33" s="2"/>
      <c r="N33" s="19">
        <f t="shared" si="11"/>
        <v>3.0112350605883349</v>
      </c>
      <c r="O33" s="11"/>
      <c r="P33" s="2">
        <v>-25426.880000000001</v>
      </c>
      <c r="Q33" s="2"/>
      <c r="R33" s="19">
        <f t="shared" si="12"/>
        <v>-0.60288543225882629</v>
      </c>
      <c r="S33" s="2"/>
      <c r="T33" s="2">
        <v>-2889.17</v>
      </c>
      <c r="U33" s="2"/>
      <c r="V33" s="19">
        <f t="shared" si="13"/>
        <v>-0.13567987632208478</v>
      </c>
      <c r="W33" s="2"/>
      <c r="X33" s="2">
        <f t="shared" si="14"/>
        <v>-22537.71</v>
      </c>
      <c r="Y33" s="2"/>
      <c r="Z33" s="19">
        <f t="shared" si="15"/>
        <v>7.8007559264425419</v>
      </c>
    </row>
    <row r="34" spans="1:26" s="24" customFormat="1" hidden="1" outlineLevel="1" x14ac:dyDescent="0.25">
      <c r="A34" s="44"/>
      <c r="B34" s="11" t="str">
        <f>CONCATENATE("          ", "5300", " - ", "COG$ OFFSET")</f>
        <v xml:space="preserve">          5300 - COG$ OFFSET</v>
      </c>
      <c r="C34" s="11"/>
      <c r="D34" s="2">
        <v>14774.61</v>
      </c>
      <c r="E34" s="2"/>
      <c r="F34" s="19">
        <f t="shared" si="8"/>
        <v>0.57576643257392501</v>
      </c>
      <c r="G34" s="2"/>
      <c r="H34" s="2">
        <v>5140</v>
      </c>
      <c r="I34" s="2"/>
      <c r="J34" s="19">
        <f t="shared" si="9"/>
        <v>0.5777825738977167</v>
      </c>
      <c r="K34" s="2"/>
      <c r="L34" s="2">
        <f t="shared" si="10"/>
        <v>9634.61</v>
      </c>
      <c r="M34" s="2"/>
      <c r="N34" s="19">
        <f t="shared" si="11"/>
        <v>1.8744377431906616</v>
      </c>
      <c r="O34" s="11"/>
      <c r="P34" s="2">
        <v>24460.17</v>
      </c>
      <c r="Q34" s="2"/>
      <c r="R34" s="19">
        <f t="shared" si="12"/>
        <v>0.57996420180432573</v>
      </c>
      <c r="S34" s="2"/>
      <c r="T34" s="2">
        <v>14145</v>
      </c>
      <c r="U34" s="2"/>
      <c r="V34" s="19">
        <f t="shared" si="13"/>
        <v>0.66427100190569932</v>
      </c>
      <c r="W34" s="2"/>
      <c r="X34" s="2">
        <f t="shared" si="14"/>
        <v>10315.169999999998</v>
      </c>
      <c r="Y34" s="2"/>
      <c r="Z34" s="19">
        <f t="shared" si="15"/>
        <v>0.72924496288441132</v>
      </c>
    </row>
    <row r="35" spans="1:26" s="24" customFormat="1" hidden="1" outlineLevel="1" x14ac:dyDescent="0.25">
      <c r="A35" s="44"/>
      <c r="B35" s="11" t="str">
        <f>CONCATENATE("          ", "5500", " - ", "FREIGHT-IN")</f>
        <v xml:space="preserve">          5500 - FREIGHT-IN</v>
      </c>
      <c r="C35" s="11"/>
      <c r="D35" s="2">
        <v>51.32</v>
      </c>
      <c r="E35" s="2"/>
      <c r="F35" s="19">
        <f t="shared" si="8"/>
        <v>1.9999399862124165E-3</v>
      </c>
      <c r="G35" s="2"/>
      <c r="H35" s="2"/>
      <c r="I35" s="2"/>
      <c r="J35" s="19">
        <f t="shared" si="9"/>
        <v>0</v>
      </c>
      <c r="K35" s="2"/>
      <c r="L35" s="2">
        <f t="shared" si="10"/>
        <v>51.32</v>
      </c>
      <c r="M35" s="2"/>
      <c r="N35" s="19">
        <f t="shared" si="11"/>
        <v>0</v>
      </c>
      <c r="O35" s="11"/>
      <c r="P35" s="2">
        <v>193.77</v>
      </c>
      <c r="Q35" s="2"/>
      <c r="R35" s="19">
        <f t="shared" si="12"/>
        <v>4.5943942083650361E-3</v>
      </c>
      <c r="S35" s="2"/>
      <c r="T35" s="2"/>
      <c r="U35" s="2"/>
      <c r="V35" s="19">
        <f t="shared" si="13"/>
        <v>0</v>
      </c>
      <c r="W35" s="2"/>
      <c r="X35" s="2">
        <f t="shared" si="14"/>
        <v>193.77</v>
      </c>
      <c r="Y35" s="2"/>
      <c r="Z35" s="19">
        <f t="shared" si="15"/>
        <v>0</v>
      </c>
    </row>
    <row r="36" spans="1:26" s="24" customFormat="1" hidden="1" outlineLevel="1" x14ac:dyDescent="0.25">
      <c r="A36" s="44"/>
      <c r="B36" s="11" t="str">
        <f>CONCATENATE("          ", "5528", " - ", "FREIGHT-IN-ART/TECH")</f>
        <v xml:space="preserve">          5528 - FREIGHT-IN-ART/TECH</v>
      </c>
      <c r="C36" s="11"/>
      <c r="D36" s="2">
        <v>0</v>
      </c>
      <c r="E36" s="2"/>
      <c r="F36" s="19">
        <f t="shared" si="8"/>
        <v>0</v>
      </c>
      <c r="G36" s="2"/>
      <c r="H36" s="2">
        <v>6.76</v>
      </c>
      <c r="I36" s="2"/>
      <c r="J36" s="19">
        <f t="shared" si="9"/>
        <v>7.5988525283046009E-4</v>
      </c>
      <c r="K36" s="2"/>
      <c r="L36" s="2">
        <f t="shared" si="10"/>
        <v>-6.76</v>
      </c>
      <c r="M36" s="2"/>
      <c r="N36" s="19">
        <f t="shared" si="11"/>
        <v>-1</v>
      </c>
      <c r="O36" s="11"/>
      <c r="P36" s="2">
        <v>0</v>
      </c>
      <c r="Q36" s="2"/>
      <c r="R36" s="19">
        <f t="shared" si="12"/>
        <v>0</v>
      </c>
      <c r="S36" s="2"/>
      <c r="T36" s="2">
        <v>44.81</v>
      </c>
      <c r="U36" s="2"/>
      <c r="V36" s="19">
        <f t="shared" si="13"/>
        <v>2.1043466663410665E-3</v>
      </c>
      <c r="W36" s="2"/>
      <c r="X36" s="2">
        <f t="shared" si="14"/>
        <v>-44.81</v>
      </c>
      <c r="Y36" s="2"/>
      <c r="Z36" s="19">
        <f t="shared" si="15"/>
        <v>-1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10"/>
      <c r="B38" s="25" t="s">
        <v>107</v>
      </c>
      <c r="C38" s="25"/>
      <c r="D38" s="21">
        <f>D12-D26</f>
        <v>10886.160000000003</v>
      </c>
      <c r="E38" s="13"/>
      <c r="F38" s="22">
        <f>IF(D$12=0,0,D38/D$12)</f>
        <v>0.42423356742607499</v>
      </c>
      <c r="G38" s="13"/>
      <c r="H38" s="21">
        <f>H12-H26</f>
        <v>3756.08</v>
      </c>
      <c r="I38" s="13"/>
      <c r="J38" s="22">
        <f>IF(H$12=0,0,H38/H$12)</f>
        <v>0.42221742610228324</v>
      </c>
      <c r="K38" s="16"/>
      <c r="L38" s="21">
        <f>+D38-H38</f>
        <v>7130.0800000000036</v>
      </c>
      <c r="M38" s="16"/>
      <c r="N38" s="22">
        <f>IF(H38=0,0,L38/H38)</f>
        <v>1.8982769270090103</v>
      </c>
      <c r="O38" s="26"/>
      <c r="P38" s="21">
        <f>P12-P26</f>
        <v>17715.140000000007</v>
      </c>
      <c r="Q38" s="13"/>
      <c r="R38" s="22">
        <f>IF(P$12=0,0,P38/P$12)</f>
        <v>0.42003579819567433</v>
      </c>
      <c r="S38" s="13"/>
      <c r="T38" s="21">
        <f>T12-T26</f>
        <v>7110.9700000000012</v>
      </c>
      <c r="U38" s="13"/>
      <c r="V38" s="22">
        <f>IF(T$12=0,0,T38/T$12)</f>
        <v>0.33394211144725144</v>
      </c>
      <c r="W38" s="16"/>
      <c r="X38" s="21">
        <f>+P38-T38</f>
        <v>10604.170000000006</v>
      </c>
      <c r="Y38" s="16"/>
      <c r="Z38" s="22">
        <f>IF(T38=0,0,X38/T38)</f>
        <v>1.4912409980635559</v>
      </c>
    </row>
    <row r="39" spans="1:26" x14ac:dyDescent="0.25">
      <c r="A39" s="9"/>
      <c r="B39" s="10"/>
      <c r="C39" s="9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x14ac:dyDescent="0.25">
      <c r="A40" s="10"/>
      <c r="B40" s="26" t="s">
        <v>294</v>
      </c>
      <c r="C40" s="10"/>
      <c r="D40" s="20">
        <f>SUM(OSRRefD22x_0)</f>
        <v>1344.8000000000002</v>
      </c>
      <c r="E40" s="20"/>
      <c r="F40" s="30">
        <f t="shared" ref="F40:F44" si="16">IF(D$12=0,0,D40/D$12)</f>
        <v>5.2406845157023735E-2</v>
      </c>
      <c r="G40" s="20"/>
      <c r="H40" s="20">
        <f>SUM(OSRRefH22x_0)</f>
        <v>3608.6000000000004</v>
      </c>
      <c r="I40" s="20"/>
      <c r="J40" s="30">
        <f t="shared" ref="J40:J44" si="17">IF(H$12=0,0,H40/H$12)</f>
        <v>0.40563933777573946</v>
      </c>
      <c r="K40" s="4"/>
      <c r="L40" s="20">
        <f t="shared" ref="L40:L44" si="18">+D40-H40</f>
        <v>-2263.8000000000002</v>
      </c>
      <c r="M40" s="4"/>
      <c r="N40" s="30">
        <f t="shared" ref="N40:N44" si="19">IF(H40=0,0,L40/H40)</f>
        <v>-0.6273347004378429</v>
      </c>
      <c r="O40" s="10"/>
      <c r="P40" s="20">
        <f>SUM(OSRRefP22x_0)</f>
        <v>5598.3</v>
      </c>
      <c r="Q40" s="20"/>
      <c r="R40" s="30">
        <f t="shared" ref="R40:R44" si="20">IF(P$12=0,0,P40/P$12)</f>
        <v>0.13273879907462446</v>
      </c>
      <c r="S40" s="20"/>
      <c r="T40" s="20">
        <f>SUM(OSRRefT22x_0)</f>
        <v>10193.669999999996</v>
      </c>
      <c r="U40" s="20"/>
      <c r="V40" s="30">
        <f t="shared" ref="V40:V44" si="21">IF(T$12=0,0,T40/T$12)</f>
        <v>0.47871045486009667</v>
      </c>
      <c r="W40" s="4"/>
      <c r="X40" s="20">
        <f t="shared" ref="X40:X44" si="22">+P40-T40</f>
        <v>-4595.3699999999963</v>
      </c>
      <c r="Y40" s="4"/>
      <c r="Z40" s="30">
        <f t="shared" ref="Z40:Z44" si="23">IF(T40=0,0,X40/T40)</f>
        <v>-0.45080623563446709</v>
      </c>
    </row>
    <row r="41" spans="1:26" s="27" customFormat="1" outlineLevel="1" collapsed="1" x14ac:dyDescent="0.25">
      <c r="A41" s="29"/>
      <c r="B41" s="14" t="str">
        <f>CONCATENATE("     ","*Benefits                                         ")</f>
        <v xml:space="preserve">     *Benefits                                         </v>
      </c>
      <c r="C41" s="14"/>
      <c r="D41" s="1">
        <f>SUM(OSRRefD22_0x_0)</f>
        <v>0</v>
      </c>
      <c r="E41" s="1"/>
      <c r="F41" s="5">
        <f t="shared" si="16"/>
        <v>0</v>
      </c>
      <c r="G41" s="1"/>
      <c r="H41" s="1">
        <f>SUM(OSRRefH22_0x_0)</f>
        <v>248.82999999999998</v>
      </c>
      <c r="I41" s="1"/>
      <c r="J41" s="5">
        <f t="shared" si="17"/>
        <v>2.7970746665947246E-2</v>
      </c>
      <c r="K41" s="1"/>
      <c r="L41" s="1">
        <f t="shared" si="18"/>
        <v>-248.82999999999998</v>
      </c>
      <c r="M41" s="1"/>
      <c r="N41" s="5">
        <f t="shared" si="19"/>
        <v>-1</v>
      </c>
      <c r="O41" s="14"/>
      <c r="P41" s="1">
        <f>SUM(OSRRefP22_0x_0)</f>
        <v>0</v>
      </c>
      <c r="Q41" s="1"/>
      <c r="R41" s="5">
        <f t="shared" si="20"/>
        <v>0</v>
      </c>
      <c r="S41" s="1"/>
      <c r="T41" s="1">
        <f>SUM(OSRRefT22_0x_0)</f>
        <v>562.16999999999996</v>
      </c>
      <c r="U41" s="1"/>
      <c r="V41" s="5">
        <f t="shared" si="21"/>
        <v>2.6400369681253231E-2</v>
      </c>
      <c r="W41" s="1"/>
      <c r="X41" s="1">
        <f t="shared" si="22"/>
        <v>-562.16999999999996</v>
      </c>
      <c r="Y41" s="1"/>
      <c r="Z41" s="5">
        <f t="shared" si="23"/>
        <v>-1</v>
      </c>
    </row>
    <row r="42" spans="1:26" s="24" customFormat="1" hidden="1" outlineLevel="2" x14ac:dyDescent="0.25">
      <c r="A42" s="28"/>
      <c r="B42" s="11" t="str">
        <f>CONCATENATE("          ", "6111", " - ", "F.I.C.A.")</f>
        <v xml:space="preserve">          6111 - F.I.C.A.</v>
      </c>
      <c r="C42" s="11"/>
      <c r="D42" s="7"/>
      <c r="E42" s="2"/>
      <c r="F42" s="6">
        <f t="shared" si="16"/>
        <v>0</v>
      </c>
      <c r="G42" s="2"/>
      <c r="H42" s="7">
        <v>149.04</v>
      </c>
      <c r="I42" s="2"/>
      <c r="J42" s="6">
        <f t="shared" si="17"/>
        <v>1.6753446461812392E-2</v>
      </c>
      <c r="K42" s="2"/>
      <c r="L42" s="7">
        <f t="shared" si="18"/>
        <v>-149.04</v>
      </c>
      <c r="M42" s="2"/>
      <c r="N42" s="6">
        <f t="shared" si="19"/>
        <v>-1</v>
      </c>
      <c r="O42" s="11"/>
      <c r="P42" s="7"/>
      <c r="Q42" s="2"/>
      <c r="R42" s="6">
        <f t="shared" si="20"/>
        <v>0</v>
      </c>
      <c r="S42" s="2"/>
      <c r="T42" s="7">
        <v>406.4</v>
      </c>
      <c r="U42" s="2"/>
      <c r="V42" s="6">
        <f t="shared" si="21"/>
        <v>1.9085170390560353E-2</v>
      </c>
      <c r="W42" s="2"/>
      <c r="X42" s="7">
        <f t="shared" si="22"/>
        <v>-406.4</v>
      </c>
      <c r="Y42" s="2"/>
      <c r="Z42" s="6">
        <f t="shared" si="23"/>
        <v>-1</v>
      </c>
    </row>
    <row r="43" spans="1:26" s="24" customFormat="1" hidden="1" outlineLevel="2" x14ac:dyDescent="0.25">
      <c r="A43" s="28"/>
      <c r="B43" s="11" t="str">
        <f>CONCATENATE("          ", "6112", " - ", "COMPENSATION INSURANCE")</f>
        <v xml:space="preserve">          6112 - COMPENSATION INSURANCE</v>
      </c>
      <c r="C43" s="11"/>
      <c r="D43" s="7"/>
      <c r="E43" s="2"/>
      <c r="F43" s="6">
        <f t="shared" si="16"/>
        <v>0</v>
      </c>
      <c r="G43" s="2"/>
      <c r="H43" s="7">
        <v>87.49</v>
      </c>
      <c r="I43" s="2"/>
      <c r="J43" s="6">
        <f t="shared" si="17"/>
        <v>9.8346687529788403E-3</v>
      </c>
      <c r="K43" s="2"/>
      <c r="L43" s="7">
        <f t="shared" si="18"/>
        <v>-87.49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134.72999999999999</v>
      </c>
      <c r="U43" s="2"/>
      <c r="V43" s="6">
        <f t="shared" si="21"/>
        <v>6.3271284614178063E-3</v>
      </c>
      <c r="W43" s="2"/>
      <c r="X43" s="7">
        <f t="shared" si="22"/>
        <v>-134.72999999999999</v>
      </c>
      <c r="Y43" s="2"/>
      <c r="Z43" s="6">
        <f t="shared" si="23"/>
        <v>-1</v>
      </c>
    </row>
    <row r="44" spans="1:26" s="24" customFormat="1" hidden="1" outlineLevel="2" x14ac:dyDescent="0.25">
      <c r="A44" s="28"/>
      <c r="B44" s="11" t="str">
        <f>CONCATENATE("          ", "6114", " - ", "STATE UNEMPLOYMENT INSURANCE")</f>
        <v xml:space="preserve">          6114 - STATE UNEMPLOYMENT INSURANCE</v>
      </c>
      <c r="C44" s="11"/>
      <c r="D44" s="7"/>
      <c r="E44" s="2"/>
      <c r="F44" s="6">
        <f t="shared" si="16"/>
        <v>0</v>
      </c>
      <c r="G44" s="2"/>
      <c r="H44" s="7">
        <v>12.3</v>
      </c>
      <c r="I44" s="2"/>
      <c r="J44" s="6">
        <f t="shared" si="17"/>
        <v>1.3826314511560149E-3</v>
      </c>
      <c r="K44" s="2"/>
      <c r="L44" s="7">
        <f t="shared" si="18"/>
        <v>-12.3</v>
      </c>
      <c r="M44" s="2"/>
      <c r="N44" s="6">
        <f t="shared" si="19"/>
        <v>-1</v>
      </c>
      <c r="O44" s="11"/>
      <c r="P44" s="7"/>
      <c r="Q44" s="2"/>
      <c r="R44" s="6">
        <f t="shared" si="20"/>
        <v>0</v>
      </c>
      <c r="S44" s="2"/>
      <c r="T44" s="7">
        <v>21.04</v>
      </c>
      <c r="U44" s="2"/>
      <c r="V44" s="6">
        <f t="shared" si="21"/>
        <v>9.8807082927507349E-4</v>
      </c>
      <c r="W44" s="2"/>
      <c r="X44" s="7">
        <f t="shared" si="22"/>
        <v>-21.04</v>
      </c>
      <c r="Y44" s="2"/>
      <c r="Z44" s="6">
        <f t="shared" si="23"/>
        <v>-1</v>
      </c>
    </row>
    <row r="45" spans="1:26" s="27" customFormat="1" outlineLevel="1" collapsed="1" x14ac:dyDescent="0.25">
      <c r="A45" s="29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0</v>
      </c>
      <c r="E45" s="1"/>
      <c r="F45" s="5">
        <f t="shared" ref="F45:F47" si="24">IF(D$12=0,0,D45/D$12)</f>
        <v>0</v>
      </c>
      <c r="G45" s="1"/>
      <c r="H45" s="1">
        <f>SUM(OSRRefH22_1x_0)</f>
        <v>2735.85</v>
      </c>
      <c r="I45" s="1"/>
      <c r="J45" s="5">
        <f t="shared" ref="J45:J47" si="25">IF(H$12=0,0,H45/H$12)</f>
        <v>0.30753432972725064</v>
      </c>
      <c r="K45" s="1"/>
      <c r="L45" s="1">
        <f t="shared" ref="L45:L47" si="26">+D45-H45</f>
        <v>-2735.85</v>
      </c>
      <c r="M45" s="1"/>
      <c r="N45" s="5">
        <f t="shared" ref="N45:N47" si="27">IF(H45=0,0,L45/H45)</f>
        <v>-1</v>
      </c>
      <c r="O45" s="14"/>
      <c r="P45" s="1">
        <f>SUM(OSRRefP22_1x_0)</f>
        <v>0</v>
      </c>
      <c r="Q45" s="1"/>
      <c r="R45" s="5">
        <f t="shared" ref="R45:R47" si="28">IF(P$12=0,0,P45/P$12)</f>
        <v>0</v>
      </c>
      <c r="S45" s="1"/>
      <c r="T45" s="1">
        <f>SUM(OSRRefT22_1x_0)</f>
        <v>7242.9699999999993</v>
      </c>
      <c r="U45" s="1"/>
      <c r="V45" s="5">
        <f t="shared" ref="V45:V47" si="29">IF(T$12=0,0,T45/T$12)</f>
        <v>0.34014103490087821</v>
      </c>
      <c r="W45" s="1"/>
      <c r="X45" s="1">
        <f t="shared" ref="X45:X47" si="30">+P45-T45</f>
        <v>-7242.9699999999993</v>
      </c>
      <c r="Y45" s="1"/>
      <c r="Z45" s="5">
        <f t="shared" ref="Z45:Z47" si="31">IF(T45=0,0,X45/T45)</f>
        <v>-1</v>
      </c>
    </row>
    <row r="46" spans="1:26" s="24" customFormat="1" hidden="1" outlineLevel="2" x14ac:dyDescent="0.25">
      <c r="A46" s="28"/>
      <c r="B46" s="11" t="str">
        <f>CONCATENATE("          ", "6005", " - ", "TEMPORARY WAGES-HOURLY")</f>
        <v xml:space="preserve">          6005 - TEMPORARY WAGES-HOURLY</v>
      </c>
      <c r="C46" s="11"/>
      <c r="D46" s="7"/>
      <c r="E46" s="2"/>
      <c r="F46" s="6">
        <f t="shared" si="24"/>
        <v>0</v>
      </c>
      <c r="G46" s="2"/>
      <c r="H46" s="7">
        <v>1948.22</v>
      </c>
      <c r="I46" s="2"/>
      <c r="J46" s="6">
        <f t="shared" si="25"/>
        <v>0.21899758095700578</v>
      </c>
      <c r="K46" s="2"/>
      <c r="L46" s="7">
        <f t="shared" si="26"/>
        <v>-1948.22</v>
      </c>
      <c r="M46" s="2"/>
      <c r="N46" s="6">
        <f t="shared" si="27"/>
        <v>-1</v>
      </c>
      <c r="O46" s="11"/>
      <c r="P46" s="7"/>
      <c r="Q46" s="2"/>
      <c r="R46" s="6">
        <f t="shared" si="28"/>
        <v>0</v>
      </c>
      <c r="S46" s="2"/>
      <c r="T46" s="7">
        <v>4356.45</v>
      </c>
      <c r="U46" s="2"/>
      <c r="V46" s="6">
        <f t="shared" si="29"/>
        <v>0.20458560666327916</v>
      </c>
      <c r="W46" s="2"/>
      <c r="X46" s="7">
        <f t="shared" si="30"/>
        <v>-4356.45</v>
      </c>
      <c r="Y46" s="2"/>
      <c r="Z46" s="6">
        <f t="shared" si="31"/>
        <v>-1</v>
      </c>
    </row>
    <row r="47" spans="1:26" s="24" customFormat="1" hidden="1" outlineLevel="2" x14ac:dyDescent="0.25">
      <c r="A47" s="28"/>
      <c r="B47" s="11" t="str">
        <f>CONCATENATE("          ", "6007", " - ", "STUDENT HOURLY")</f>
        <v xml:space="preserve">          6007 - STUDENT HOURLY</v>
      </c>
      <c r="C47" s="11"/>
      <c r="D47" s="7"/>
      <c r="E47" s="2"/>
      <c r="F47" s="6">
        <f t="shared" si="24"/>
        <v>0</v>
      </c>
      <c r="G47" s="2"/>
      <c r="H47" s="7">
        <v>787.63</v>
      </c>
      <c r="I47" s="2"/>
      <c r="J47" s="6">
        <f t="shared" si="25"/>
        <v>8.8536748770244866E-2</v>
      </c>
      <c r="K47" s="2"/>
      <c r="L47" s="7">
        <f t="shared" si="26"/>
        <v>-787.63</v>
      </c>
      <c r="M47" s="2"/>
      <c r="N47" s="6">
        <f t="shared" si="27"/>
        <v>-1</v>
      </c>
      <c r="O47" s="11"/>
      <c r="P47" s="7"/>
      <c r="Q47" s="2"/>
      <c r="R47" s="6">
        <f t="shared" si="28"/>
        <v>0</v>
      </c>
      <c r="S47" s="2"/>
      <c r="T47" s="7">
        <v>2886.52</v>
      </c>
      <c r="U47" s="2"/>
      <c r="V47" s="6">
        <f t="shared" si="29"/>
        <v>0.13555542823759908</v>
      </c>
      <c r="W47" s="2"/>
      <c r="X47" s="7">
        <f t="shared" si="30"/>
        <v>-2886.52</v>
      </c>
      <c r="Y47" s="2"/>
      <c r="Z47" s="6">
        <f t="shared" si="31"/>
        <v>-1</v>
      </c>
    </row>
    <row r="48" spans="1:26" s="27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17.64</v>
      </c>
      <c r="E48" s="1"/>
      <c r="F48" s="5">
        <f t="shared" ref="F48:F54" si="32">IF(D$12=0,0,D48/D$12)</f>
        <v>6.8743065777059683E-4</v>
      </c>
      <c r="G48" s="1"/>
      <c r="H48" s="1">
        <f>SUM(OSRRefH22_2x_0)</f>
        <v>0</v>
      </c>
      <c r="I48" s="1"/>
      <c r="J48" s="5">
        <f t="shared" ref="J48:J54" si="33">IF(H$12=0,0,H48/H$12)</f>
        <v>0</v>
      </c>
      <c r="K48" s="1"/>
      <c r="L48" s="1">
        <f t="shared" ref="L48:L54" si="34">+D48-H48</f>
        <v>17.64</v>
      </c>
      <c r="M48" s="1"/>
      <c r="N48" s="5">
        <f t="shared" ref="N48:N54" si="35">IF(H48=0,0,L48/H48)</f>
        <v>0</v>
      </c>
      <c r="O48" s="14"/>
      <c r="P48" s="1">
        <f>SUM(OSRRefP22_2x_0)</f>
        <v>152.91999999999999</v>
      </c>
      <c r="Q48" s="1"/>
      <c r="R48" s="5">
        <f t="shared" ref="R48:R54" si="36">IF(P$12=0,0,P48/P$12)</f>
        <v>3.6258180437796421E-3</v>
      </c>
      <c r="S48" s="1"/>
      <c r="T48" s="1">
        <f>SUM(OSRRefT22_2x_0)</f>
        <v>0</v>
      </c>
      <c r="U48" s="1"/>
      <c r="V48" s="5">
        <f t="shared" ref="V48:V54" si="37">IF(T$12=0,0,T48/T$12)</f>
        <v>0</v>
      </c>
      <c r="W48" s="1"/>
      <c r="X48" s="1">
        <f t="shared" ref="X48:X54" si="38">+P48-T48</f>
        <v>152.91999999999999</v>
      </c>
      <c r="Y48" s="1"/>
      <c r="Z48" s="5">
        <f t="shared" ref="Z48:Z54" si="39">IF(T48=0,0,X48/T48)</f>
        <v>0</v>
      </c>
    </row>
    <row r="49" spans="1:26" s="24" customFormat="1" hidden="1" outlineLevel="2" x14ac:dyDescent="0.25">
      <c r="A49" s="28"/>
      <c r="B49" s="11" t="str">
        <f>CONCATENATE("          ", "6362", " - ", "ADVERTISING EXPENSE")</f>
        <v xml:space="preserve">          6362 - ADVERTISING EXPENSE</v>
      </c>
      <c r="C49" s="11"/>
      <c r="D49" s="7">
        <v>17.64</v>
      </c>
      <c r="E49" s="2"/>
      <c r="F49" s="6">
        <f t="shared" si="32"/>
        <v>6.8743065777059683E-4</v>
      </c>
      <c r="G49" s="2"/>
      <c r="H49" s="7"/>
      <c r="I49" s="2"/>
      <c r="J49" s="6">
        <f t="shared" si="33"/>
        <v>0</v>
      </c>
      <c r="K49" s="2"/>
      <c r="L49" s="7">
        <f t="shared" si="34"/>
        <v>17.64</v>
      </c>
      <c r="M49" s="2"/>
      <c r="N49" s="6">
        <f t="shared" si="35"/>
        <v>0</v>
      </c>
      <c r="O49" s="11"/>
      <c r="P49" s="7">
        <v>152.91999999999999</v>
      </c>
      <c r="Q49" s="2"/>
      <c r="R49" s="6">
        <f t="shared" si="36"/>
        <v>3.6258180437796421E-3</v>
      </c>
      <c r="S49" s="2"/>
      <c r="T49" s="7"/>
      <c r="U49" s="2"/>
      <c r="V49" s="6">
        <f t="shared" si="37"/>
        <v>0</v>
      </c>
      <c r="W49" s="2"/>
      <c r="X49" s="7">
        <f t="shared" si="38"/>
        <v>152.91999999999999</v>
      </c>
      <c r="Y49" s="2"/>
      <c r="Z49" s="6">
        <f t="shared" si="39"/>
        <v>0</v>
      </c>
    </row>
    <row r="50" spans="1:26" s="27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-1.67</v>
      </c>
      <c r="E50" s="1"/>
      <c r="F50" s="5">
        <f t="shared" si="32"/>
        <v>-6.5079886534971469E-5</v>
      </c>
      <c r="G50" s="1"/>
      <c r="H50" s="1">
        <f>SUM(OSRRefH22_3x_0)</f>
        <v>0.8</v>
      </c>
      <c r="I50" s="1"/>
      <c r="J50" s="5">
        <f t="shared" si="33"/>
        <v>8.9927248855675766E-5</v>
      </c>
      <c r="K50" s="1"/>
      <c r="L50" s="1">
        <f t="shared" si="34"/>
        <v>-2.4699999999999998</v>
      </c>
      <c r="M50" s="1"/>
      <c r="N50" s="5">
        <f t="shared" si="35"/>
        <v>-3.0874999999999995</v>
      </c>
      <c r="O50" s="14"/>
      <c r="P50" s="1">
        <f>SUM(OSRRefP22_3x_0)</f>
        <v>-3.33</v>
      </c>
      <c r="Q50" s="1"/>
      <c r="R50" s="5">
        <f t="shared" si="36"/>
        <v>-7.8956147565957427E-5</v>
      </c>
      <c r="S50" s="1"/>
      <c r="T50" s="1">
        <f>SUM(OSRRefT22_3x_0)</f>
        <v>1.1000000000000001</v>
      </c>
      <c r="U50" s="1"/>
      <c r="V50" s="5">
        <f t="shared" si="37"/>
        <v>5.1657695446890725E-5</v>
      </c>
      <c r="W50" s="1"/>
      <c r="X50" s="1">
        <f t="shared" si="38"/>
        <v>-4.43</v>
      </c>
      <c r="Y50" s="1"/>
      <c r="Z50" s="5">
        <f t="shared" si="39"/>
        <v>-4.0272727272727264</v>
      </c>
    </row>
    <row r="51" spans="1:26" s="24" customFormat="1" hidden="1" outlineLevel="2" x14ac:dyDescent="0.25">
      <c r="A51" s="28"/>
      <c r="B51" s="11" t="str">
        <f>CONCATENATE("          ", "6272", " - ", "CASH (OVER/SHORT)")</f>
        <v xml:space="preserve">          6272 - CASH (OVER/SHORT)</v>
      </c>
      <c r="C51" s="11"/>
      <c r="D51" s="7">
        <v>-1.67</v>
      </c>
      <c r="E51" s="2"/>
      <c r="F51" s="6">
        <f t="shared" si="32"/>
        <v>-6.5079886534971469E-5</v>
      </c>
      <c r="G51" s="2"/>
      <c r="H51" s="7">
        <v>0.8</v>
      </c>
      <c r="I51" s="2"/>
      <c r="J51" s="6">
        <f t="shared" si="33"/>
        <v>8.9927248855675766E-5</v>
      </c>
      <c r="K51" s="2"/>
      <c r="L51" s="7">
        <f t="shared" si="34"/>
        <v>-2.4699999999999998</v>
      </c>
      <c r="M51" s="2"/>
      <c r="N51" s="6">
        <f t="shared" si="35"/>
        <v>-3.0874999999999995</v>
      </c>
      <c r="O51" s="11"/>
      <c r="P51" s="7">
        <v>-3.33</v>
      </c>
      <c r="Q51" s="2"/>
      <c r="R51" s="6">
        <f t="shared" si="36"/>
        <v>-7.8956147565957427E-5</v>
      </c>
      <c r="S51" s="2"/>
      <c r="T51" s="7">
        <v>1.1000000000000001</v>
      </c>
      <c r="U51" s="2"/>
      <c r="V51" s="6">
        <f t="shared" si="37"/>
        <v>5.1657695446890725E-5</v>
      </c>
      <c r="W51" s="2"/>
      <c r="X51" s="7">
        <f t="shared" si="38"/>
        <v>-4.43</v>
      </c>
      <c r="Y51" s="2"/>
      <c r="Z51" s="6">
        <f t="shared" si="39"/>
        <v>-4.0272727272727264</v>
      </c>
    </row>
    <row r="52" spans="1:26" s="27" customFormat="1" outlineLevel="1" collapsed="1" x14ac:dyDescent="0.25">
      <c r="A52" s="29"/>
      <c r="B52" s="14" t="str">
        <f>CONCATENATE("     ","Discounts and Markdowns                           ")</f>
        <v xml:space="preserve">     Discounts and Markdowns                           </v>
      </c>
      <c r="C52" s="14"/>
      <c r="D52" s="1">
        <f>SUM(OSRRefD22_4x_0)</f>
        <v>69.38</v>
      </c>
      <c r="E52" s="1"/>
      <c r="F52" s="5">
        <f t="shared" si="32"/>
        <v>2.7037380405965988E-3</v>
      </c>
      <c r="G52" s="1"/>
      <c r="H52" s="1">
        <f>SUM(OSRRefH22_4x_0)</f>
        <v>0</v>
      </c>
      <c r="I52" s="1"/>
      <c r="J52" s="5">
        <f t="shared" si="33"/>
        <v>0</v>
      </c>
      <c r="K52" s="1"/>
      <c r="L52" s="1">
        <f t="shared" si="34"/>
        <v>69.38</v>
      </c>
      <c r="M52" s="1"/>
      <c r="N52" s="5">
        <f t="shared" si="35"/>
        <v>0</v>
      </c>
      <c r="O52" s="14"/>
      <c r="P52" s="1">
        <f>SUM(OSRRefP22_4x_0)</f>
        <v>0</v>
      </c>
      <c r="Q52" s="1"/>
      <c r="R52" s="5">
        <f t="shared" si="36"/>
        <v>0</v>
      </c>
      <c r="S52" s="1"/>
      <c r="T52" s="1">
        <f>SUM(OSRRefT22_4x_0)</f>
        <v>0</v>
      </c>
      <c r="U52" s="1"/>
      <c r="V52" s="5">
        <f t="shared" si="37"/>
        <v>0</v>
      </c>
      <c r="W52" s="1"/>
      <c r="X52" s="1">
        <f t="shared" si="38"/>
        <v>0</v>
      </c>
      <c r="Y52" s="1"/>
      <c r="Z52" s="5">
        <f t="shared" si="39"/>
        <v>0</v>
      </c>
    </row>
    <row r="53" spans="1:26" s="24" customFormat="1" hidden="1" outlineLevel="2" x14ac:dyDescent="0.25">
      <c r="A53" s="28"/>
      <c r="B53" s="11" t="str">
        <f>CONCATENATE("          ", "6382", " - ", "DISCOUNTS/MARK DOWNS")</f>
        <v xml:space="preserve">          6382 - DISCOUNTS/MARK DOWNS</v>
      </c>
      <c r="C53" s="11"/>
      <c r="D53" s="7"/>
      <c r="E53" s="2"/>
      <c r="F53" s="6">
        <f t="shared" si="32"/>
        <v>0</v>
      </c>
      <c r="G53" s="2"/>
      <c r="H53" s="7">
        <v>0</v>
      </c>
      <c r="I53" s="2"/>
      <c r="J53" s="6">
        <f t="shared" si="33"/>
        <v>0</v>
      </c>
      <c r="K53" s="2"/>
      <c r="L53" s="7">
        <f t="shared" si="34"/>
        <v>0</v>
      </c>
      <c r="M53" s="2"/>
      <c r="N53" s="6">
        <f t="shared" si="35"/>
        <v>0</v>
      </c>
      <c r="O53" s="11"/>
      <c r="P53" s="7"/>
      <c r="Q53" s="2"/>
      <c r="R53" s="6">
        <f t="shared" si="36"/>
        <v>0</v>
      </c>
      <c r="S53" s="2"/>
      <c r="T53" s="7">
        <v>0</v>
      </c>
      <c r="U53" s="2"/>
      <c r="V53" s="6">
        <f t="shared" si="37"/>
        <v>0</v>
      </c>
      <c r="W53" s="2"/>
      <c r="X53" s="7">
        <f t="shared" si="38"/>
        <v>0</v>
      </c>
      <c r="Y53" s="2"/>
      <c r="Z53" s="6">
        <f t="shared" si="39"/>
        <v>0</v>
      </c>
    </row>
    <row r="54" spans="1:26" s="24" customFormat="1" hidden="1" outlineLevel="2" x14ac:dyDescent="0.25">
      <c r="A54" s="28"/>
      <c r="B54" s="11" t="str">
        <f>CONCATENATE("          ", "9175", " - ", "EARNED DISCOUNTS")</f>
        <v xml:space="preserve">          9175 - EARNED DISCOUNTS</v>
      </c>
      <c r="C54" s="11"/>
      <c r="D54" s="7">
        <v>69.38</v>
      </c>
      <c r="E54" s="2"/>
      <c r="F54" s="6">
        <f t="shared" si="32"/>
        <v>2.7037380405965988E-3</v>
      </c>
      <c r="G54" s="2"/>
      <c r="H54" s="7"/>
      <c r="I54" s="2"/>
      <c r="J54" s="6">
        <f t="shared" si="33"/>
        <v>0</v>
      </c>
      <c r="K54" s="2"/>
      <c r="L54" s="7">
        <f t="shared" si="34"/>
        <v>69.38</v>
      </c>
      <c r="M54" s="2"/>
      <c r="N54" s="6">
        <f t="shared" si="35"/>
        <v>0</v>
      </c>
      <c r="O54" s="11"/>
      <c r="P54" s="7">
        <v>0</v>
      </c>
      <c r="Q54" s="2"/>
      <c r="R54" s="6">
        <f t="shared" si="36"/>
        <v>0</v>
      </c>
      <c r="S54" s="2"/>
      <c r="T54" s="7"/>
      <c r="U54" s="2"/>
      <c r="V54" s="6">
        <f t="shared" si="37"/>
        <v>0</v>
      </c>
      <c r="W54" s="2"/>
      <c r="X54" s="7">
        <f t="shared" si="38"/>
        <v>0</v>
      </c>
      <c r="Y54" s="2"/>
      <c r="Z54" s="6">
        <f t="shared" si="39"/>
        <v>0</v>
      </c>
    </row>
    <row r="55" spans="1:26" s="27" customFormat="1" outlineLevel="1" collapsed="1" x14ac:dyDescent="0.25">
      <c r="A55" s="29"/>
      <c r="B55" s="14" t="str">
        <f>CONCATENATE("     ","Freight out/Postage                               ")</f>
        <v xml:space="preserve">     Freight out/Postage                               </v>
      </c>
      <c r="C55" s="14"/>
      <c r="D55" s="1">
        <f>SUM(OSRRefD22_5x_0)</f>
        <v>34.5</v>
      </c>
      <c r="E55" s="1"/>
      <c r="F55" s="5">
        <f t="shared" ref="F55:F63" si="40">IF(D$12=0,0,D55/D$12)</f>
        <v>1.3444647218302489E-3</v>
      </c>
      <c r="G55" s="1"/>
      <c r="H55" s="1">
        <f>SUM(OSRRefH22_5x_0)</f>
        <v>0</v>
      </c>
      <c r="I55" s="1"/>
      <c r="J55" s="5">
        <f t="shared" ref="J55:J63" si="41">IF(H$12=0,0,H55/H$12)</f>
        <v>0</v>
      </c>
      <c r="K55" s="1"/>
      <c r="L55" s="1">
        <f t="shared" ref="L55:L63" si="42">+D55-H55</f>
        <v>34.5</v>
      </c>
      <c r="M55" s="1"/>
      <c r="N55" s="5">
        <f t="shared" ref="N55:N63" si="43">IF(H55=0,0,L55/H55)</f>
        <v>0</v>
      </c>
      <c r="O55" s="14"/>
      <c r="P55" s="1">
        <f>SUM(OSRRefP22_5x_0)</f>
        <v>54.5</v>
      </c>
      <c r="Q55" s="1"/>
      <c r="R55" s="5">
        <f t="shared" ref="R55:R63" si="44">IF(P$12=0,0,P55/P$12)</f>
        <v>1.2922252379413452E-3</v>
      </c>
      <c r="S55" s="1"/>
      <c r="T55" s="1">
        <f>SUM(OSRRefT22_5x_0)</f>
        <v>0</v>
      </c>
      <c r="U55" s="1"/>
      <c r="V55" s="5">
        <f t="shared" ref="V55:V63" si="45">IF(T$12=0,0,T55/T$12)</f>
        <v>0</v>
      </c>
      <c r="W55" s="1"/>
      <c r="X55" s="1">
        <f t="shared" ref="X55:X63" si="46">+P55-T55</f>
        <v>54.5</v>
      </c>
      <c r="Y55" s="1"/>
      <c r="Z55" s="5">
        <f t="shared" ref="Z55:Z63" si="47">IF(T55=0,0,X55/T55)</f>
        <v>0</v>
      </c>
    </row>
    <row r="56" spans="1:26" s="24" customFormat="1" hidden="1" outlineLevel="2" x14ac:dyDescent="0.25">
      <c r="A56" s="28"/>
      <c r="B56" s="11" t="str">
        <f>CONCATENATE("          ", "6307", " - ", "POSTAGE")</f>
        <v xml:space="preserve">          6307 - POSTAGE</v>
      </c>
      <c r="C56" s="11"/>
      <c r="D56" s="7">
        <v>34.5</v>
      </c>
      <c r="E56" s="2"/>
      <c r="F56" s="6">
        <f t="shared" si="40"/>
        <v>1.3444647218302489E-3</v>
      </c>
      <c r="G56" s="2"/>
      <c r="H56" s="7"/>
      <c r="I56" s="2"/>
      <c r="J56" s="6">
        <f t="shared" si="41"/>
        <v>0</v>
      </c>
      <c r="K56" s="2"/>
      <c r="L56" s="7">
        <f t="shared" si="42"/>
        <v>34.5</v>
      </c>
      <c r="M56" s="2"/>
      <c r="N56" s="6">
        <f t="shared" si="43"/>
        <v>0</v>
      </c>
      <c r="O56" s="11"/>
      <c r="P56" s="7">
        <v>54.5</v>
      </c>
      <c r="Q56" s="2"/>
      <c r="R56" s="6">
        <f t="shared" si="44"/>
        <v>1.2922252379413452E-3</v>
      </c>
      <c r="S56" s="2"/>
      <c r="T56" s="7"/>
      <c r="U56" s="2"/>
      <c r="V56" s="6">
        <f t="shared" si="45"/>
        <v>0</v>
      </c>
      <c r="W56" s="2"/>
      <c r="X56" s="7">
        <f t="shared" si="46"/>
        <v>54.5</v>
      </c>
      <c r="Y56" s="2"/>
      <c r="Z56" s="6">
        <f t="shared" si="47"/>
        <v>0</v>
      </c>
    </row>
    <row r="57" spans="1:26" s="27" customFormat="1" outlineLevel="1" collapsed="1" x14ac:dyDescent="0.25">
      <c r="A57" s="29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SUM(OSRRefD22_6x_0)</f>
        <v>0</v>
      </c>
      <c r="E57" s="1"/>
      <c r="F57" s="5">
        <f t="shared" si="40"/>
        <v>0</v>
      </c>
      <c r="G57" s="1"/>
      <c r="H57" s="1">
        <f>SUM(OSRRefH22_6x_0)</f>
        <v>0</v>
      </c>
      <c r="I57" s="1"/>
      <c r="J57" s="5">
        <f t="shared" si="41"/>
        <v>0</v>
      </c>
      <c r="K57" s="1"/>
      <c r="L57" s="1">
        <f t="shared" si="42"/>
        <v>0</v>
      </c>
      <c r="M57" s="1"/>
      <c r="N57" s="5">
        <f t="shared" si="43"/>
        <v>0</v>
      </c>
      <c r="O57" s="14"/>
      <c r="P57" s="1">
        <f>SUM(OSRRefP22_6x_0)</f>
        <v>228.04</v>
      </c>
      <c r="Q57" s="1"/>
      <c r="R57" s="5">
        <f t="shared" si="44"/>
        <v>5.4069549222044832E-3</v>
      </c>
      <c r="S57" s="1"/>
      <c r="T57" s="1">
        <f>SUM(OSRRefT22_6x_0)</f>
        <v>719.55</v>
      </c>
      <c r="U57" s="1"/>
      <c r="V57" s="5">
        <f t="shared" si="45"/>
        <v>3.3791177053463836E-2</v>
      </c>
      <c r="W57" s="1"/>
      <c r="X57" s="1">
        <f t="shared" si="46"/>
        <v>-491.51</v>
      </c>
      <c r="Y57" s="1"/>
      <c r="Z57" s="5">
        <f t="shared" si="47"/>
        <v>-0.68307970259189776</v>
      </c>
    </row>
    <row r="58" spans="1:26" s="24" customFormat="1" hidden="1" outlineLevel="2" x14ac:dyDescent="0.25">
      <c r="A58" s="28"/>
      <c r="B58" s="11" t="str">
        <f>CONCATENATE("          ", "6279", " - ", "GENERAL EXPENSE")</f>
        <v xml:space="preserve">          6279 - GENERAL EXPENSE</v>
      </c>
      <c r="C58" s="11"/>
      <c r="D58" s="7"/>
      <c r="E58" s="2"/>
      <c r="F58" s="6">
        <f t="shared" si="40"/>
        <v>0</v>
      </c>
      <c r="G58" s="2"/>
      <c r="H58" s="7"/>
      <c r="I58" s="2"/>
      <c r="J58" s="6">
        <f t="shared" si="41"/>
        <v>0</v>
      </c>
      <c r="K58" s="2"/>
      <c r="L58" s="7">
        <f t="shared" si="42"/>
        <v>0</v>
      </c>
      <c r="M58" s="2"/>
      <c r="N58" s="6">
        <f t="shared" si="43"/>
        <v>0</v>
      </c>
      <c r="O58" s="11"/>
      <c r="P58" s="7">
        <v>228.04</v>
      </c>
      <c r="Q58" s="2"/>
      <c r="R58" s="6">
        <f t="shared" si="44"/>
        <v>5.4069549222044832E-3</v>
      </c>
      <c r="S58" s="2"/>
      <c r="T58" s="7">
        <v>719.55</v>
      </c>
      <c r="U58" s="2"/>
      <c r="V58" s="6">
        <f t="shared" si="45"/>
        <v>3.3791177053463836E-2</v>
      </c>
      <c r="W58" s="2"/>
      <c r="X58" s="7">
        <f t="shared" si="46"/>
        <v>-491.51</v>
      </c>
      <c r="Y58" s="2"/>
      <c r="Z58" s="6">
        <f t="shared" si="47"/>
        <v>-0.68307970259189776</v>
      </c>
    </row>
    <row r="59" spans="1:26" s="27" customFormat="1" outlineLevel="1" collapsed="1" x14ac:dyDescent="0.25">
      <c r="A59" s="29"/>
      <c r="B59" s="14" t="str">
        <f>CONCATENATE("     ","Inventory Adjustment                              ")</f>
        <v xml:space="preserve">     Inventory Adjustment                              </v>
      </c>
      <c r="C59" s="14"/>
      <c r="D59" s="1">
        <f>SUM(OSRRefD22_7x_0)</f>
        <v>650</v>
      </c>
      <c r="E59" s="1"/>
      <c r="F59" s="5">
        <f t="shared" si="40"/>
        <v>2.5330494759120629E-2</v>
      </c>
      <c r="G59" s="1"/>
      <c r="H59" s="1">
        <f>SUM(OSRRefH22_7x_0)</f>
        <v>0</v>
      </c>
      <c r="I59" s="1"/>
      <c r="J59" s="5">
        <f t="shared" si="41"/>
        <v>0</v>
      </c>
      <c r="K59" s="1"/>
      <c r="L59" s="1">
        <f t="shared" si="42"/>
        <v>650</v>
      </c>
      <c r="M59" s="1"/>
      <c r="N59" s="5">
        <f t="shared" si="43"/>
        <v>0</v>
      </c>
      <c r="O59" s="14"/>
      <c r="P59" s="1">
        <f>SUM(OSRRefP22_7x_0)</f>
        <v>1950</v>
      </c>
      <c r="Q59" s="1"/>
      <c r="R59" s="5">
        <f t="shared" si="44"/>
        <v>4.6235581907993081E-2</v>
      </c>
      <c r="S59" s="1"/>
      <c r="T59" s="1">
        <f>SUM(OSRRefT22_7x_0)</f>
        <v>0</v>
      </c>
      <c r="U59" s="1"/>
      <c r="V59" s="5">
        <f t="shared" si="45"/>
        <v>0</v>
      </c>
      <c r="W59" s="1"/>
      <c r="X59" s="1">
        <f t="shared" si="46"/>
        <v>1950</v>
      </c>
      <c r="Y59" s="1"/>
      <c r="Z59" s="5">
        <f t="shared" si="47"/>
        <v>0</v>
      </c>
    </row>
    <row r="60" spans="1:26" s="24" customFormat="1" hidden="1" outlineLevel="2" x14ac:dyDescent="0.25">
      <c r="A60" s="28"/>
      <c r="B60" s="11" t="str">
        <f>CONCATENATE("          ", "6408", " - ", "INVENTORY ADJUSTMENT")</f>
        <v xml:space="preserve">          6408 - INVENTORY ADJUSTMENT</v>
      </c>
      <c r="C60" s="11"/>
      <c r="D60" s="7">
        <v>650</v>
      </c>
      <c r="E60" s="2"/>
      <c r="F60" s="6">
        <f t="shared" si="40"/>
        <v>2.5330494759120629E-2</v>
      </c>
      <c r="G60" s="2"/>
      <c r="H60" s="7"/>
      <c r="I60" s="2"/>
      <c r="J60" s="6">
        <f t="shared" si="41"/>
        <v>0</v>
      </c>
      <c r="K60" s="2"/>
      <c r="L60" s="7">
        <f t="shared" si="42"/>
        <v>650</v>
      </c>
      <c r="M60" s="2"/>
      <c r="N60" s="6">
        <f t="shared" si="43"/>
        <v>0</v>
      </c>
      <c r="O60" s="11"/>
      <c r="P60" s="7">
        <v>1950</v>
      </c>
      <c r="Q60" s="2"/>
      <c r="R60" s="6">
        <f t="shared" si="44"/>
        <v>4.6235581907993081E-2</v>
      </c>
      <c r="S60" s="2"/>
      <c r="T60" s="7"/>
      <c r="U60" s="2"/>
      <c r="V60" s="6">
        <f t="shared" si="45"/>
        <v>0</v>
      </c>
      <c r="W60" s="2"/>
      <c r="X60" s="7">
        <f t="shared" si="46"/>
        <v>1950</v>
      </c>
      <c r="Y60" s="2"/>
      <c r="Z60" s="6">
        <f t="shared" si="47"/>
        <v>0</v>
      </c>
    </row>
    <row r="61" spans="1:26" s="27" customFormat="1" outlineLevel="1" collapsed="1" x14ac:dyDescent="0.25">
      <c r="A61" s="29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SUM(OSRRefD22_8x_0)</f>
        <v>61.11</v>
      </c>
      <c r="E61" s="1"/>
      <c r="F61" s="5">
        <f t="shared" si="40"/>
        <v>2.3814562072767102E-3</v>
      </c>
      <c r="G61" s="1"/>
      <c r="H61" s="1">
        <f>SUM(OSRRefH22_8x_0)</f>
        <v>61.11</v>
      </c>
      <c r="I61" s="1"/>
      <c r="J61" s="5">
        <f t="shared" si="41"/>
        <v>6.8693177219629319E-3</v>
      </c>
      <c r="K61" s="1"/>
      <c r="L61" s="1">
        <f t="shared" si="42"/>
        <v>0</v>
      </c>
      <c r="M61" s="1"/>
      <c r="N61" s="5">
        <f t="shared" si="43"/>
        <v>0</v>
      </c>
      <c r="O61" s="14"/>
      <c r="P61" s="1">
        <f>SUM(OSRRefP22_8x_0)</f>
        <v>234.79000000000002</v>
      </c>
      <c r="Q61" s="1"/>
      <c r="R61" s="5">
        <f t="shared" si="44"/>
        <v>5.5670011672706143E-3</v>
      </c>
      <c r="S61" s="1"/>
      <c r="T61" s="1">
        <f>SUM(OSRRefT22_8x_0)</f>
        <v>139.71</v>
      </c>
      <c r="U61" s="1"/>
      <c r="V61" s="5">
        <f t="shared" si="45"/>
        <v>6.5609969371682756E-3</v>
      </c>
      <c r="W61" s="1"/>
      <c r="X61" s="1">
        <f t="shared" si="46"/>
        <v>95.080000000000013</v>
      </c>
      <c r="Y61" s="1"/>
      <c r="Z61" s="5">
        <f t="shared" si="47"/>
        <v>0.68055257318731666</v>
      </c>
    </row>
    <row r="62" spans="1:26" s="24" customFormat="1" hidden="1" outlineLevel="2" x14ac:dyDescent="0.25">
      <c r="A62" s="28"/>
      <c r="B62" s="11" t="str">
        <f>CONCATENATE("          ", "6373", " - ", "MAINTENANCE CONTRACTS")</f>
        <v xml:space="preserve">          6373 - MAINTENANCE CONTRACTS</v>
      </c>
      <c r="C62" s="11"/>
      <c r="D62" s="7">
        <v>61.11</v>
      </c>
      <c r="E62" s="2"/>
      <c r="F62" s="6">
        <f t="shared" si="40"/>
        <v>2.3814562072767102E-3</v>
      </c>
      <c r="G62" s="2"/>
      <c r="H62" s="7">
        <v>61.11</v>
      </c>
      <c r="I62" s="2"/>
      <c r="J62" s="6">
        <f t="shared" si="41"/>
        <v>6.8693177219629319E-3</v>
      </c>
      <c r="K62" s="2"/>
      <c r="L62" s="7">
        <f t="shared" si="42"/>
        <v>0</v>
      </c>
      <c r="M62" s="2"/>
      <c r="N62" s="6">
        <f t="shared" si="43"/>
        <v>0</v>
      </c>
      <c r="O62" s="11"/>
      <c r="P62" s="7">
        <v>61.11</v>
      </c>
      <c r="Q62" s="2"/>
      <c r="R62" s="6">
        <f t="shared" si="44"/>
        <v>1.4489520053320294E-3</v>
      </c>
      <c r="S62" s="2"/>
      <c r="T62" s="7">
        <v>139.71</v>
      </c>
      <c r="U62" s="2"/>
      <c r="V62" s="6">
        <f t="shared" si="45"/>
        <v>6.5609969371682756E-3</v>
      </c>
      <c r="W62" s="2"/>
      <c r="X62" s="7">
        <f t="shared" si="46"/>
        <v>-78.600000000000009</v>
      </c>
      <c r="Y62" s="2"/>
      <c r="Z62" s="6">
        <f t="shared" si="47"/>
        <v>-0.56259394459952761</v>
      </c>
    </row>
    <row r="63" spans="1:26" s="24" customFormat="1" hidden="1" outlineLevel="2" x14ac:dyDescent="0.25">
      <c r="A63" s="28"/>
      <c r="B63" s="11" t="str">
        <f>CONCATENATE("          ", "6375", " - ", "OUTSIDE REPAIRS &amp; MAINTENANCE")</f>
        <v xml:space="preserve">          6375 - OUTSIDE REPAIRS &amp; MAINTENANCE</v>
      </c>
      <c r="C63" s="11"/>
      <c r="D63" s="7"/>
      <c r="E63" s="2"/>
      <c r="F63" s="6">
        <f t="shared" si="40"/>
        <v>0</v>
      </c>
      <c r="G63" s="2"/>
      <c r="H63" s="7"/>
      <c r="I63" s="2"/>
      <c r="J63" s="6">
        <f t="shared" si="41"/>
        <v>0</v>
      </c>
      <c r="K63" s="2"/>
      <c r="L63" s="7">
        <f t="shared" si="42"/>
        <v>0</v>
      </c>
      <c r="M63" s="2"/>
      <c r="N63" s="6">
        <f t="shared" si="43"/>
        <v>0</v>
      </c>
      <c r="O63" s="11"/>
      <c r="P63" s="7">
        <v>173.68</v>
      </c>
      <c r="Q63" s="2"/>
      <c r="R63" s="6">
        <f t="shared" si="44"/>
        <v>4.1180491619385844E-3</v>
      </c>
      <c r="S63" s="2"/>
      <c r="T63" s="7"/>
      <c r="U63" s="2"/>
      <c r="V63" s="6">
        <f t="shared" si="45"/>
        <v>0</v>
      </c>
      <c r="W63" s="2"/>
      <c r="X63" s="7">
        <f t="shared" si="46"/>
        <v>173.68</v>
      </c>
      <c r="Y63" s="2"/>
      <c r="Z63" s="6">
        <f t="shared" si="47"/>
        <v>0</v>
      </c>
    </row>
    <row r="64" spans="1:26" s="27" customFormat="1" outlineLevel="1" collapsed="1" x14ac:dyDescent="0.25">
      <c r="A64" s="29"/>
      <c r="B64" s="14" t="str">
        <f>CONCATENATE("     ","Services                                          ")</f>
        <v xml:space="preserve">     Services                                          </v>
      </c>
      <c r="C64" s="14"/>
      <c r="D64" s="1">
        <f>SUM(OSRRefD22_9x_0)</f>
        <v>312.45</v>
      </c>
      <c r="E64" s="1"/>
      <c r="F64" s="5">
        <f t="shared" ref="F64:F66" si="48">IF(D$12=0,0,D64/D$12)</f>
        <v>1.2176173980749602E-2</v>
      </c>
      <c r="G64" s="1"/>
      <c r="H64" s="1">
        <f>SUM(OSRRefH22_9x_0)</f>
        <v>44</v>
      </c>
      <c r="I64" s="1"/>
      <c r="J64" s="5">
        <f t="shared" ref="J64:J66" si="49">IF(H$12=0,0,H64/H$12)</f>
        <v>4.9459986870621668E-3</v>
      </c>
      <c r="K64" s="1"/>
      <c r="L64" s="1">
        <f t="shared" ref="L64:L66" si="50">+D64-H64</f>
        <v>268.45</v>
      </c>
      <c r="M64" s="1"/>
      <c r="N64" s="5">
        <f t="shared" ref="N64:N66" si="51">IF(H64=0,0,L64/H64)</f>
        <v>6.1011363636363631</v>
      </c>
      <c r="O64" s="14"/>
      <c r="P64" s="1">
        <f>SUM(OSRRefP22_9x_0)</f>
        <v>2613.94</v>
      </c>
      <c r="Q64" s="1"/>
      <c r="R64" s="5">
        <f t="shared" ref="R64:R66" si="52">IF(P$12=0,0,P64/P$12)</f>
        <v>6.1977967678245871E-2</v>
      </c>
      <c r="S64" s="1"/>
      <c r="T64" s="1">
        <f>SUM(OSRRefT22_9x_0)</f>
        <v>-25.5</v>
      </c>
      <c r="U64" s="1"/>
      <c r="V64" s="5">
        <f t="shared" ref="V64:V66" si="53">IF(T$12=0,0,T64/T$12)</f>
        <v>-1.1975193035415577E-3</v>
      </c>
      <c r="W64" s="1"/>
      <c r="X64" s="1">
        <f t="shared" ref="X64:X66" si="54">+P64-T64</f>
        <v>2639.44</v>
      </c>
      <c r="Y64" s="1"/>
      <c r="Z64" s="5">
        <f t="shared" ref="Z64:Z66" si="55">IF(T64=0,0,X64/T64)</f>
        <v>-103.50745098039216</v>
      </c>
    </row>
    <row r="65" spans="1:26" s="24" customFormat="1" hidden="1" outlineLevel="2" x14ac:dyDescent="0.25">
      <c r="A65" s="28"/>
      <c r="B65" s="11" t="str">
        <f>CONCATENATE("          ", "6282", " - ", "JANITORIAL/EXTERMINATOR EXPENS")</f>
        <v xml:space="preserve">          6282 - JANITORIAL/EXTERMINATOR EXPENS</v>
      </c>
      <c r="C65" s="11"/>
      <c r="D65" s="7">
        <v>271.3</v>
      </c>
      <c r="E65" s="2"/>
      <c r="F65" s="6">
        <f t="shared" si="48"/>
        <v>1.057255881253758E-2</v>
      </c>
      <c r="G65" s="2"/>
      <c r="H65" s="7">
        <v>44</v>
      </c>
      <c r="I65" s="2"/>
      <c r="J65" s="6">
        <f t="shared" si="49"/>
        <v>4.9459986870621668E-3</v>
      </c>
      <c r="K65" s="2"/>
      <c r="L65" s="7">
        <f t="shared" si="50"/>
        <v>227.3</v>
      </c>
      <c r="M65" s="2"/>
      <c r="N65" s="6">
        <f t="shared" si="51"/>
        <v>5.165909090909091</v>
      </c>
      <c r="O65" s="11"/>
      <c r="P65" s="7">
        <v>271.3</v>
      </c>
      <c r="Q65" s="2"/>
      <c r="R65" s="6">
        <f t="shared" si="52"/>
        <v>6.4326735239171916E-3</v>
      </c>
      <c r="S65" s="2"/>
      <c r="T65" s="7">
        <v>132</v>
      </c>
      <c r="U65" s="2"/>
      <c r="V65" s="6">
        <f t="shared" si="53"/>
        <v>6.1989234536268863E-3</v>
      </c>
      <c r="W65" s="2"/>
      <c r="X65" s="7">
        <f t="shared" si="54"/>
        <v>139.30000000000001</v>
      </c>
      <c r="Y65" s="2"/>
      <c r="Z65" s="6">
        <f t="shared" si="55"/>
        <v>1.0553030303030304</v>
      </c>
    </row>
    <row r="66" spans="1:26" s="24" customFormat="1" hidden="1" outlineLevel="2" x14ac:dyDescent="0.25">
      <c r="A66" s="28"/>
      <c r="B66" s="11" t="str">
        <f>CONCATENATE("          ", "6285", " - ", "JANITORIAL SERVICES")</f>
        <v xml:space="preserve">          6285 - JANITORIAL SERVICES</v>
      </c>
      <c r="C66" s="11"/>
      <c r="D66" s="7">
        <v>41.15</v>
      </c>
      <c r="E66" s="2"/>
      <c r="F66" s="6">
        <f t="shared" si="48"/>
        <v>1.6036151682120214E-3</v>
      </c>
      <c r="G66" s="2"/>
      <c r="H66" s="7"/>
      <c r="I66" s="2"/>
      <c r="J66" s="6">
        <f t="shared" si="49"/>
        <v>0</v>
      </c>
      <c r="K66" s="2"/>
      <c r="L66" s="7">
        <f t="shared" si="50"/>
        <v>41.15</v>
      </c>
      <c r="M66" s="2"/>
      <c r="N66" s="6">
        <f t="shared" si="51"/>
        <v>0</v>
      </c>
      <c r="O66" s="11"/>
      <c r="P66" s="7">
        <v>2342.64</v>
      </c>
      <c r="Q66" s="2"/>
      <c r="R66" s="6">
        <f t="shared" si="52"/>
        <v>5.554529415432867E-2</v>
      </c>
      <c r="S66" s="2"/>
      <c r="T66" s="7">
        <v>-157.5</v>
      </c>
      <c r="U66" s="2"/>
      <c r="V66" s="6">
        <f t="shared" si="53"/>
        <v>-7.3964427571684447E-3</v>
      </c>
      <c r="W66" s="2"/>
      <c r="X66" s="7">
        <f t="shared" si="54"/>
        <v>2500.14</v>
      </c>
      <c r="Y66" s="2"/>
      <c r="Z66" s="6">
        <f t="shared" si="55"/>
        <v>-15.873904761904761</v>
      </c>
    </row>
    <row r="67" spans="1:26" s="27" customFormat="1" outlineLevel="1" collapsed="1" x14ac:dyDescent="0.25">
      <c r="A67" s="29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SUM(OSRRefD22_10x_0)</f>
        <v>148.38999999999999</v>
      </c>
      <c r="E67" s="1"/>
      <c r="F67" s="5">
        <f t="shared" ref="F67:F70" si="56">IF(D$12=0,0,D67/D$12)</f>
        <v>5.7827571035475537E-3</v>
      </c>
      <c r="G67" s="1"/>
      <c r="H67" s="1">
        <f>SUM(OSRRefH22_10x_0)</f>
        <v>418.01</v>
      </c>
      <c r="I67" s="1"/>
      <c r="J67" s="5">
        <f t="shared" ref="J67:J70" si="57">IF(H$12=0,0,H67/H$12)</f>
        <v>4.6988111617701278E-2</v>
      </c>
      <c r="K67" s="1"/>
      <c r="L67" s="1">
        <f t="shared" ref="L67:L70" si="58">+D67-H67</f>
        <v>-269.62</v>
      </c>
      <c r="M67" s="1"/>
      <c r="N67" s="5">
        <f t="shared" ref="N67:N70" si="59">IF(H67=0,0,L67/H67)</f>
        <v>-0.64500849261979376</v>
      </c>
      <c r="O67" s="14"/>
      <c r="P67" s="1">
        <f>SUM(OSRRefP22_10x_0)</f>
        <v>248.44</v>
      </c>
      <c r="Q67" s="1"/>
      <c r="R67" s="5">
        <f t="shared" ref="R67:R70" si="60">IF(P$12=0,0,P67/P$12)</f>
        <v>5.8906502406265646E-3</v>
      </c>
      <c r="S67" s="1"/>
      <c r="T67" s="1">
        <f>SUM(OSRRefT22_10x_0)</f>
        <v>1347.67</v>
      </c>
      <c r="U67" s="1"/>
      <c r="V67" s="5">
        <f t="shared" ref="V67:V70" si="61">IF(T$12=0,0,T67/T$12)</f>
        <v>6.3288660384464748E-2</v>
      </c>
      <c r="W67" s="1"/>
      <c r="X67" s="1">
        <f t="shared" ref="X67:X70" si="62">+P67-T67</f>
        <v>-1099.23</v>
      </c>
      <c r="Y67" s="1"/>
      <c r="Z67" s="5">
        <f t="shared" ref="Z67:Z70" si="63">IF(T67=0,0,X67/T67)</f>
        <v>-0.81565219972248393</v>
      </c>
    </row>
    <row r="68" spans="1:26" s="24" customFormat="1" hidden="1" outlineLevel="2" x14ac:dyDescent="0.25">
      <c r="A68" s="28"/>
      <c r="B68" s="11" t="str">
        <f>CONCATENATE("          ", "6235", " - ", "COVID-19 EXPENSES")</f>
        <v xml:space="preserve">          6235 - COVID-19 EXPENSES</v>
      </c>
      <c r="C68" s="11"/>
      <c r="D68" s="7"/>
      <c r="E68" s="2"/>
      <c r="F68" s="6">
        <f t="shared" si="56"/>
        <v>0</v>
      </c>
      <c r="G68" s="2"/>
      <c r="H68" s="7"/>
      <c r="I68" s="2"/>
      <c r="J68" s="6">
        <f t="shared" si="57"/>
        <v>0</v>
      </c>
      <c r="K68" s="2"/>
      <c r="L68" s="7">
        <f t="shared" si="58"/>
        <v>0</v>
      </c>
      <c r="M68" s="2"/>
      <c r="N68" s="6">
        <f t="shared" si="59"/>
        <v>0</v>
      </c>
      <c r="O68" s="11"/>
      <c r="P68" s="7"/>
      <c r="Q68" s="2"/>
      <c r="R68" s="6">
        <f t="shared" si="60"/>
        <v>0</v>
      </c>
      <c r="S68" s="2"/>
      <c r="T68" s="7">
        <v>444.3</v>
      </c>
      <c r="U68" s="2"/>
      <c r="V68" s="6">
        <f t="shared" si="61"/>
        <v>2.0865012806412318E-2</v>
      </c>
      <c r="W68" s="2"/>
      <c r="X68" s="7">
        <f t="shared" si="62"/>
        <v>-444.3</v>
      </c>
      <c r="Y68" s="2"/>
      <c r="Z68" s="6">
        <f t="shared" si="63"/>
        <v>-1</v>
      </c>
    </row>
    <row r="69" spans="1:26" s="24" customFormat="1" hidden="1" outlineLevel="2" x14ac:dyDescent="0.25">
      <c r="A69" s="28"/>
      <c r="B69" s="11" t="str">
        <f>CONCATENATE("          ", "6241", " - ", "OFFICE EXPENSE")</f>
        <v xml:space="preserve">          6241 - OFFICE EXPENSE</v>
      </c>
      <c r="C69" s="11"/>
      <c r="D69" s="7"/>
      <c r="E69" s="2"/>
      <c r="F69" s="6">
        <f t="shared" si="56"/>
        <v>0</v>
      </c>
      <c r="G69" s="2"/>
      <c r="H69" s="7"/>
      <c r="I69" s="2"/>
      <c r="J69" s="6">
        <f t="shared" si="57"/>
        <v>0</v>
      </c>
      <c r="K69" s="2"/>
      <c r="L69" s="7">
        <f t="shared" si="58"/>
        <v>0</v>
      </c>
      <c r="M69" s="2"/>
      <c r="N69" s="6">
        <f t="shared" si="59"/>
        <v>0</v>
      </c>
      <c r="O69" s="11"/>
      <c r="P69" s="7"/>
      <c r="Q69" s="2"/>
      <c r="R69" s="6">
        <f t="shared" si="60"/>
        <v>0</v>
      </c>
      <c r="S69" s="2"/>
      <c r="T69" s="7">
        <v>225.24</v>
      </c>
      <c r="U69" s="2"/>
      <c r="V69" s="6">
        <f t="shared" si="61"/>
        <v>1.0577617565870607E-2</v>
      </c>
      <c r="W69" s="2"/>
      <c r="X69" s="7">
        <f t="shared" si="62"/>
        <v>-225.24</v>
      </c>
      <c r="Y69" s="2"/>
      <c r="Z69" s="6">
        <f t="shared" si="63"/>
        <v>-1</v>
      </c>
    </row>
    <row r="70" spans="1:26" s="24" customFormat="1" hidden="1" outlineLevel="2" x14ac:dyDescent="0.25">
      <c r="A70" s="28"/>
      <c r="B70" s="11" t="str">
        <f>CONCATENATE("          ", "6247", " - ", "STORE SUPPLIES")</f>
        <v xml:space="preserve">          6247 - STORE SUPPLIES</v>
      </c>
      <c r="C70" s="11"/>
      <c r="D70" s="7">
        <v>148.38999999999999</v>
      </c>
      <c r="E70" s="2"/>
      <c r="F70" s="6">
        <f t="shared" si="56"/>
        <v>5.7827571035475537E-3</v>
      </c>
      <c r="G70" s="2"/>
      <c r="H70" s="7">
        <v>418.01</v>
      </c>
      <c r="I70" s="2"/>
      <c r="J70" s="6">
        <f t="shared" si="57"/>
        <v>4.6988111617701278E-2</v>
      </c>
      <c r="K70" s="2"/>
      <c r="L70" s="7">
        <f t="shared" si="58"/>
        <v>-269.62</v>
      </c>
      <c r="M70" s="2"/>
      <c r="N70" s="6">
        <f t="shared" si="59"/>
        <v>-0.64500849261979376</v>
      </c>
      <c r="O70" s="11"/>
      <c r="P70" s="7">
        <v>248.44</v>
      </c>
      <c r="Q70" s="2"/>
      <c r="R70" s="6">
        <f t="shared" si="60"/>
        <v>5.8906502406265646E-3</v>
      </c>
      <c r="S70" s="2"/>
      <c r="T70" s="7">
        <v>678.13</v>
      </c>
      <c r="U70" s="2"/>
      <c r="V70" s="6">
        <f t="shared" si="61"/>
        <v>3.1846030012181822E-2</v>
      </c>
      <c r="W70" s="2"/>
      <c r="X70" s="7">
        <f t="shared" si="62"/>
        <v>-429.69</v>
      </c>
      <c r="Y70" s="2"/>
      <c r="Z70" s="6">
        <f t="shared" si="63"/>
        <v>-0.63363956763452434</v>
      </c>
    </row>
    <row r="71" spans="1:26" s="27" customFormat="1" outlineLevel="1" collapsed="1" x14ac:dyDescent="0.25">
      <c r="A71" s="29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SUM(OSRRefD22_11x_0)</f>
        <v>53</v>
      </c>
      <c r="E71" s="1"/>
      <c r="F71" s="5">
        <f t="shared" ref="F71:F72" si="64">IF(D$12=0,0,D71/D$12)</f>
        <v>2.0654095726667589E-3</v>
      </c>
      <c r="G71" s="1"/>
      <c r="H71" s="1">
        <f>SUM(OSRRefH22_11x_0)</f>
        <v>100</v>
      </c>
      <c r="I71" s="1"/>
      <c r="J71" s="5">
        <f t="shared" ref="J71:J72" si="65">IF(H$12=0,0,H71/H$12)</f>
        <v>1.1240906106959469E-2</v>
      </c>
      <c r="K71" s="1"/>
      <c r="L71" s="1">
        <f t="shared" ref="L71:L72" si="66">+D71-H71</f>
        <v>-47</v>
      </c>
      <c r="M71" s="1"/>
      <c r="N71" s="5">
        <f t="shared" ref="N71:N72" si="67">IF(H71=0,0,L71/H71)</f>
        <v>-0.47</v>
      </c>
      <c r="O71" s="14"/>
      <c r="P71" s="1">
        <f>SUM(OSRRefP22_11x_0)</f>
        <v>119</v>
      </c>
      <c r="Q71" s="1"/>
      <c r="R71" s="5">
        <f t="shared" ref="R71:R72" si="68">IF(P$12=0,0,P71/P$12)</f>
        <v>2.8215560241288086E-3</v>
      </c>
      <c r="S71" s="1"/>
      <c r="T71" s="1">
        <f>SUM(OSRRefT22_11x_0)</f>
        <v>206</v>
      </c>
      <c r="U71" s="1"/>
      <c r="V71" s="5">
        <f t="shared" ref="V71:V72" si="69">IF(T$12=0,0,T71/T$12)</f>
        <v>9.6740775109631708E-3</v>
      </c>
      <c r="W71" s="1"/>
      <c r="X71" s="1">
        <f t="shared" ref="X71:X72" si="70">+P71-T71</f>
        <v>-87</v>
      </c>
      <c r="Y71" s="1"/>
      <c r="Z71" s="5">
        <f t="shared" ref="Z71:Z72" si="71">IF(T71=0,0,X71/T71)</f>
        <v>-0.42233009708737862</v>
      </c>
    </row>
    <row r="72" spans="1:26" s="24" customFormat="1" hidden="1" outlineLevel="2" x14ac:dyDescent="0.25">
      <c r="A72" s="28"/>
      <c r="B72" s="11" t="str">
        <f>CONCATENATE("          ", "6309", " - ", "TELEPHONE")</f>
        <v xml:space="preserve">          6309 - TELEPHONE</v>
      </c>
      <c r="C72" s="11"/>
      <c r="D72" s="7">
        <v>53</v>
      </c>
      <c r="E72" s="2"/>
      <c r="F72" s="6">
        <f t="shared" si="64"/>
        <v>2.0654095726667589E-3</v>
      </c>
      <c r="G72" s="2"/>
      <c r="H72" s="7">
        <v>100</v>
      </c>
      <c r="I72" s="2"/>
      <c r="J72" s="6">
        <f t="shared" si="65"/>
        <v>1.1240906106959469E-2</v>
      </c>
      <c r="K72" s="2"/>
      <c r="L72" s="7">
        <f t="shared" si="66"/>
        <v>-47</v>
      </c>
      <c r="M72" s="2"/>
      <c r="N72" s="6">
        <f t="shared" si="67"/>
        <v>-0.47</v>
      </c>
      <c r="O72" s="11"/>
      <c r="P72" s="7">
        <v>119</v>
      </c>
      <c r="Q72" s="2"/>
      <c r="R72" s="6">
        <f t="shared" si="68"/>
        <v>2.8215560241288086E-3</v>
      </c>
      <c r="S72" s="2"/>
      <c r="T72" s="7">
        <v>206</v>
      </c>
      <c r="U72" s="2"/>
      <c r="V72" s="6">
        <f t="shared" si="69"/>
        <v>9.6740775109631708E-3</v>
      </c>
      <c r="W72" s="2"/>
      <c r="X72" s="7">
        <f t="shared" si="70"/>
        <v>-87</v>
      </c>
      <c r="Y72" s="2"/>
      <c r="Z72" s="6">
        <f t="shared" si="71"/>
        <v>-0.42233009708737862</v>
      </c>
    </row>
    <row r="73" spans="1:26" s="54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6" t="s">
        <v>292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5" t="s">
        <v>276</v>
      </c>
      <c r="C76" s="25"/>
      <c r="D76" s="21">
        <f>+D38-D40+D74</f>
        <v>9541.3600000000042</v>
      </c>
      <c r="E76" s="13"/>
      <c r="F76" s="22">
        <f>IF(D$12=0,0,D76/D$12)</f>
        <v>0.37182672226905128</v>
      </c>
      <c r="G76" s="13"/>
      <c r="H76" s="21">
        <f>+H38-H40+H74</f>
        <v>147.47999999999956</v>
      </c>
      <c r="I76" s="13"/>
      <c r="J76" s="22">
        <f>IF(H$12=0,0,H76/H$12)</f>
        <v>1.6578088326543776E-2</v>
      </c>
      <c r="K76" s="16"/>
      <c r="L76" s="21">
        <f>+D76-H76</f>
        <v>9393.8800000000047</v>
      </c>
      <c r="M76" s="16"/>
      <c r="N76" s="22">
        <f>IF(H76=0,0,L76/H76)</f>
        <v>63.695958774071279</v>
      </c>
      <c r="O76" s="26"/>
      <c r="P76" s="21">
        <f>+P38-P40+P74</f>
        <v>12116.840000000007</v>
      </c>
      <c r="Q76" s="13"/>
      <c r="R76" s="22">
        <f>IF(P$12=0,0,P76/P$12)</f>
        <v>0.28729699912104989</v>
      </c>
      <c r="S76" s="13"/>
      <c r="T76" s="21">
        <f>+T38-T40+T74</f>
        <v>-3082.6999999999953</v>
      </c>
      <c r="U76" s="13"/>
      <c r="V76" s="22">
        <f>IF(T$12=0,0,T76/T$12)</f>
        <v>-0.14476834341284525</v>
      </c>
      <c r="W76" s="16"/>
      <c r="X76" s="21">
        <f>+P76-T76</f>
        <v>15199.540000000003</v>
      </c>
      <c r="Y76" s="16"/>
      <c r="Z76" s="22">
        <f>IF(T76=0,0,X76/T76)</f>
        <v>-4.9305933110584963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1"/>
      <c r="B78" s="10" t="s">
        <v>127</v>
      </c>
      <c r="C78" s="10"/>
      <c r="D78" s="4">
        <v>2752.46</v>
      </c>
      <c r="E78" s="4"/>
      <c r="F78" s="12">
        <f>IF(D$12=0,0,D78/D$12)</f>
        <v>0.10726334400721411</v>
      </c>
      <c r="G78" s="4"/>
      <c r="H78" s="4">
        <v>1851.59</v>
      </c>
      <c r="I78" s="4"/>
      <c r="J78" s="12">
        <f>IF(H$12=0,0,H78/H$12)</f>
        <v>0.20813549338585083</v>
      </c>
      <c r="K78" s="4"/>
      <c r="L78" s="4">
        <f>+D78-H78</f>
        <v>900.87000000000012</v>
      </c>
      <c r="M78" s="4"/>
      <c r="N78" s="12">
        <f>IF(H78=0,0,L78/H78)</f>
        <v>0.48653859655755333</v>
      </c>
      <c r="O78" s="10"/>
      <c r="P78" s="4">
        <v>5220.28</v>
      </c>
      <c r="Q78" s="4"/>
      <c r="R78" s="12">
        <f>IF(P$12=0,0,P78/P$12)</f>
        <v>0.12377573513982468</v>
      </c>
      <c r="S78" s="4"/>
      <c r="T78" s="4">
        <v>3944.82</v>
      </c>
      <c r="U78" s="4"/>
      <c r="V78" s="12">
        <f>IF(T$12=0,0,T78/T$12)</f>
        <v>0.18525482741163951</v>
      </c>
      <c r="W78" s="4"/>
      <c r="X78" s="4">
        <f>+P78-T78</f>
        <v>1275.4599999999996</v>
      </c>
      <c r="Y78" s="4"/>
      <c r="Z78" s="12">
        <f>IF(T78=0,0,X78/T78)</f>
        <v>0.32332527212901974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5" t="s">
        <v>125</v>
      </c>
      <c r="C80" s="25"/>
      <c r="D80" s="33">
        <f>+D76-D78</f>
        <v>6788.9000000000042</v>
      </c>
      <c r="E80" s="13"/>
      <c r="F80" s="35">
        <f>IF(D$12=0,0,D80/D$12)</f>
        <v>0.26456337826183718</v>
      </c>
      <c r="G80" s="13"/>
      <c r="H80" s="33">
        <f>+H76-H78</f>
        <v>-1704.1100000000004</v>
      </c>
      <c r="I80" s="13"/>
      <c r="J80" s="35">
        <f>IF(H$12=0,0,H80/H$12)</f>
        <v>-0.19155740505930707</v>
      </c>
      <c r="K80" s="16"/>
      <c r="L80" s="33">
        <f>D80-H80</f>
        <v>8493.0100000000039</v>
      </c>
      <c r="M80" s="16"/>
      <c r="N80" s="35">
        <f>IF(H80=0,0,L80/H80)</f>
        <v>-4.9838390714214471</v>
      </c>
      <c r="O80" s="26"/>
      <c r="P80" s="33">
        <f>+P76-P78</f>
        <v>6896.5600000000077</v>
      </c>
      <c r="Q80" s="13"/>
      <c r="R80" s="35">
        <f>IF(P$12=0,0,P80/P$12)</f>
        <v>0.16352126398122518</v>
      </c>
      <c r="S80" s="13"/>
      <c r="T80" s="33">
        <f>+T76-T78</f>
        <v>-7027.519999999995</v>
      </c>
      <c r="U80" s="13"/>
      <c r="V80" s="35">
        <f>IF(T$12=0,0,T80/T$12)</f>
        <v>-0.33002317082448474</v>
      </c>
      <c r="W80" s="16"/>
      <c r="X80" s="33">
        <f>P80-T80</f>
        <v>13924.080000000002</v>
      </c>
      <c r="Y80" s="16"/>
      <c r="Z80" s="35">
        <f>IF(T80=0,0,X80/T80)</f>
        <v>-1.9813646919539201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5" t="s">
        <v>293</v>
      </c>
      <c r="C83" s="25"/>
      <c r="D83" s="31">
        <f>SUM(D80:D82)</f>
        <v>6788.9000000000042</v>
      </c>
      <c r="E83" s="13"/>
      <c r="F83" s="32">
        <f>IF(D$12=0,0,D83/D$12)</f>
        <v>0.26456337826183718</v>
      </c>
      <c r="G83" s="13"/>
      <c r="H83" s="31">
        <f>SUM(H80:H82)</f>
        <v>-1704.1100000000004</v>
      </c>
      <c r="I83" s="13"/>
      <c r="J83" s="32">
        <f>IF(H$12=0,0,H83/H$12)</f>
        <v>-0.19155740505930707</v>
      </c>
      <c r="K83" s="16"/>
      <c r="L83" s="31">
        <f>+D83-H83</f>
        <v>8493.0100000000039</v>
      </c>
      <c r="M83" s="16"/>
      <c r="N83" s="32">
        <f>IF(H83=0,0,L83/H83)</f>
        <v>-4.9838390714214471</v>
      </c>
      <c r="O83" s="26"/>
      <c r="P83" s="31">
        <f>SUM(P80:P82)</f>
        <v>6896.5600000000077</v>
      </c>
      <c r="Q83" s="13"/>
      <c r="R83" s="32">
        <f>IF(P$12=0,0,P83/P$12)</f>
        <v>0.16352126398122518</v>
      </c>
      <c r="S83" s="13"/>
      <c r="T83" s="31">
        <f>SUM(T80:T82)</f>
        <v>-7027.519999999995</v>
      </c>
      <c r="U83" s="13"/>
      <c r="V83" s="32">
        <f>IF(T$12=0,0,T83/T$12)</f>
        <v>-0.33002317082448474</v>
      </c>
      <c r="W83" s="16"/>
      <c r="X83" s="31">
        <f>+P83-T83</f>
        <v>13924.080000000002</v>
      </c>
      <c r="Y83" s="16"/>
      <c r="Z83" s="32">
        <f>IF(T83=0,0,X83/T83)</f>
        <v>-1.9813646919539201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8">
        <v>44481.985668518515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3" t="s">
        <v>56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2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</sheetPr>
  <dimension ref="A2:Z11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21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234356.63999999998</v>
      </c>
      <c r="E12" s="4"/>
      <c r="F12" s="12"/>
      <c r="G12" s="4"/>
      <c r="H12" s="4">
        <f>SUM(OSRRefH13x_0)</f>
        <v>237375.66999999998</v>
      </c>
      <c r="I12" s="4"/>
      <c r="J12" s="12"/>
      <c r="K12" s="4"/>
      <c r="L12" s="4">
        <f t="shared" ref="L12:L34" si="0">+D12-H12</f>
        <v>-3019.0299999999988</v>
      </c>
      <c r="M12" s="4"/>
      <c r="N12" s="12">
        <f t="shared" ref="N12:N34" si="1">IF(H12=0,0,L12/H12)</f>
        <v>-1.2718363259385424E-2</v>
      </c>
      <c r="O12" s="10"/>
      <c r="P12" s="4">
        <f>SUM(OSRRefP13x_0)</f>
        <v>1306142.0999999999</v>
      </c>
      <c r="Q12" s="4"/>
      <c r="R12" s="12"/>
      <c r="S12" s="4"/>
      <c r="T12" s="4">
        <f>SUM(OSRRefT13x_0)</f>
        <v>1511522.7900000003</v>
      </c>
      <c r="U12" s="4"/>
      <c r="V12" s="12"/>
      <c r="W12" s="4"/>
      <c r="X12" s="4">
        <f t="shared" ref="X12:X34" si="2">+P12-T12</f>
        <v>-205380.69000000041</v>
      </c>
      <c r="Y12" s="4"/>
      <c r="Z12" s="12">
        <f t="shared" ref="Z12:Z34" si="3">IF(T12=0,0,X12/T12)</f>
        <v>-0.13587667440991769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--181793.09</f>
        <v>181793.09</v>
      </c>
      <c r="E13" s="2"/>
      <c r="F13" s="19"/>
      <c r="G13" s="2"/>
      <c r="H13" s="2">
        <f>-965.28</f>
        <v>-965.28</v>
      </c>
      <c r="I13" s="2"/>
      <c r="J13" s="19"/>
      <c r="K13" s="2"/>
      <c r="L13" s="2">
        <f t="shared" si="0"/>
        <v>182758.37</v>
      </c>
      <c r="M13" s="2"/>
      <c r="N13" s="19">
        <f t="shared" si="1"/>
        <v>-189.33197621415547</v>
      </c>
      <c r="O13" s="11"/>
      <c r="P13" s="2">
        <f>--955016.15</f>
        <v>955016.15</v>
      </c>
      <c r="Q13" s="2"/>
      <c r="R13" s="19"/>
      <c r="S13" s="2"/>
      <c r="T13" s="2">
        <f>-4993.54</f>
        <v>-4993.54</v>
      </c>
      <c r="U13" s="2"/>
      <c r="V13" s="19"/>
      <c r="W13" s="2"/>
      <c r="X13" s="2">
        <f t="shared" si="2"/>
        <v>960009.69000000006</v>
      </c>
      <c r="Y13" s="2"/>
      <c r="Z13" s="19">
        <f t="shared" si="3"/>
        <v>-192.25032542044323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20" si="4">0</f>
        <v>0</v>
      </c>
      <c r="E14" s="2"/>
      <c r="F14" s="19"/>
      <c r="G14" s="2"/>
      <c r="H14" s="2">
        <f>--110499.32</f>
        <v>110499.32</v>
      </c>
      <c r="I14" s="2"/>
      <c r="J14" s="19"/>
      <c r="K14" s="2"/>
      <c r="L14" s="2">
        <f t="shared" si="0"/>
        <v>-110499.32</v>
      </c>
      <c r="M14" s="2"/>
      <c r="N14" s="19">
        <f t="shared" si="1"/>
        <v>-1</v>
      </c>
      <c r="O14" s="11"/>
      <c r="P14" s="2">
        <f t="shared" ref="P14:P20" si="5">0</f>
        <v>0</v>
      </c>
      <c r="Q14" s="2"/>
      <c r="R14" s="19"/>
      <c r="S14" s="2"/>
      <c r="T14" s="2">
        <f>--694696.64</f>
        <v>694696.64</v>
      </c>
      <c r="U14" s="2"/>
      <c r="V14" s="19"/>
      <c r="W14" s="2"/>
      <c r="X14" s="2">
        <f t="shared" si="2"/>
        <v>-694696.64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--38043.74</f>
        <v>38043.74</v>
      </c>
      <c r="I15" s="2"/>
      <c r="J15" s="19"/>
      <c r="K15" s="2"/>
      <c r="L15" s="2">
        <f t="shared" si="0"/>
        <v>-38043.74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--316655.9</f>
        <v>316655.90000000002</v>
      </c>
      <c r="U15" s="2"/>
      <c r="V15" s="19"/>
      <c r="W15" s="2"/>
      <c r="X15" s="2">
        <f t="shared" si="2"/>
        <v>-316655.90000000002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--1539.79</f>
        <v>1539.79</v>
      </c>
      <c r="I16" s="2"/>
      <c r="J16" s="19"/>
      <c r="K16" s="2"/>
      <c r="L16" s="2">
        <f t="shared" si="0"/>
        <v>-1539.79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--10595.63</f>
        <v>10595.63</v>
      </c>
      <c r="U16" s="2"/>
      <c r="V16" s="19"/>
      <c r="W16" s="2"/>
      <c r="X16" s="2">
        <f t="shared" si="2"/>
        <v>-10595.63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--284.22</f>
        <v>284.22000000000003</v>
      </c>
      <c r="I17" s="2"/>
      <c r="J17" s="19"/>
      <c r="K17" s="2"/>
      <c r="L17" s="2">
        <f t="shared" si="0"/>
        <v>-284.22000000000003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--2105.11</f>
        <v>2105.11</v>
      </c>
      <c r="U17" s="2"/>
      <c r="V17" s="19"/>
      <c r="W17" s="2"/>
      <c r="X17" s="2">
        <f t="shared" si="2"/>
        <v>-2105.11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--39.9</f>
        <v>39.9</v>
      </c>
      <c r="U18" s="2"/>
      <c r="V18" s="19"/>
      <c r="W18" s="2"/>
      <c r="X18" s="2">
        <f t="shared" si="2"/>
        <v>-39.9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--97.51</f>
        <v>97.51</v>
      </c>
      <c r="I19" s="2"/>
      <c r="J19" s="19"/>
      <c r="K19" s="2"/>
      <c r="L19" s="2">
        <f t="shared" si="0"/>
        <v>-97.51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--304.44</f>
        <v>304.44</v>
      </c>
      <c r="U19" s="2"/>
      <c r="V19" s="19"/>
      <c r="W19" s="2"/>
      <c r="X19" s="2">
        <f t="shared" si="2"/>
        <v>-304.44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--48.87</f>
        <v>48.87</v>
      </c>
      <c r="I20" s="2"/>
      <c r="J20" s="19"/>
      <c r="K20" s="2"/>
      <c r="L20" s="2">
        <f t="shared" si="0"/>
        <v>-48.87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--66434.39</f>
        <v>66434.39</v>
      </c>
      <c r="E21" s="2"/>
      <c r="F21" s="19"/>
      <c r="G21" s="2"/>
      <c r="H21" s="2">
        <f>--10945.69</f>
        <v>10945.69</v>
      </c>
      <c r="I21" s="2"/>
      <c r="J21" s="19"/>
      <c r="K21" s="2"/>
      <c r="L21" s="2">
        <f t="shared" si="0"/>
        <v>55488.7</v>
      </c>
      <c r="M21" s="2"/>
      <c r="N21" s="19">
        <f t="shared" si="1"/>
        <v>5.0694565623546799</v>
      </c>
      <c r="O21" s="11"/>
      <c r="P21" s="2">
        <f>--394578.29</f>
        <v>394578.29</v>
      </c>
      <c r="Q21" s="2"/>
      <c r="R21" s="19"/>
      <c r="S21" s="2"/>
      <c r="T21" s="2">
        <f>--164344.02</f>
        <v>164344.01999999999</v>
      </c>
      <c r="U21" s="2"/>
      <c r="V21" s="19"/>
      <c r="W21" s="2"/>
      <c r="X21" s="2">
        <f t="shared" si="2"/>
        <v>230234.27</v>
      </c>
      <c r="Y21" s="2"/>
      <c r="Z21" s="19">
        <f t="shared" si="3"/>
        <v>1.4009287955838003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 t="shared" ref="D22:D26" si="6">0</f>
        <v>0</v>
      </c>
      <c r="E22" s="2"/>
      <c r="F22" s="19"/>
      <c r="G22" s="2"/>
      <c r="H22" s="2">
        <f>--18824.16</f>
        <v>18824.16</v>
      </c>
      <c r="I22" s="2"/>
      <c r="J22" s="19"/>
      <c r="K22" s="2"/>
      <c r="L22" s="2">
        <f t="shared" si="0"/>
        <v>-18824.16</v>
      </c>
      <c r="M22" s="2"/>
      <c r="N22" s="19">
        <f t="shared" si="1"/>
        <v>-1</v>
      </c>
      <c r="O22" s="11"/>
      <c r="P22" s="2">
        <f t="shared" ref="P22:P26" si="7">0</f>
        <v>0</v>
      </c>
      <c r="Q22" s="2"/>
      <c r="R22" s="19"/>
      <c r="S22" s="2"/>
      <c r="T22" s="2">
        <f>--70404.84</f>
        <v>70404.84</v>
      </c>
      <c r="U22" s="2"/>
      <c r="V22" s="19"/>
      <c r="W22" s="2"/>
      <c r="X22" s="2">
        <f t="shared" si="2"/>
        <v>-70404.84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 t="shared" si="6"/>
        <v>0</v>
      </c>
      <c r="E23" s="2"/>
      <c r="F23" s="19"/>
      <c r="G23" s="2"/>
      <c r="H23" s="2">
        <f>--8807.08</f>
        <v>8807.08</v>
      </c>
      <c r="I23" s="2"/>
      <c r="J23" s="19"/>
      <c r="K23" s="2"/>
      <c r="L23" s="2">
        <f t="shared" si="0"/>
        <v>-8807.08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--30370.82</f>
        <v>30370.82</v>
      </c>
      <c r="U23" s="2"/>
      <c r="V23" s="19"/>
      <c r="W23" s="2"/>
      <c r="X23" s="2">
        <f t="shared" si="2"/>
        <v>-30370.82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 t="shared" si="6"/>
        <v>0</v>
      </c>
      <c r="E24" s="2"/>
      <c r="F24" s="19"/>
      <c r="G24" s="2"/>
      <c r="H24" s="2">
        <f>--284.97</f>
        <v>284.97000000000003</v>
      </c>
      <c r="I24" s="2"/>
      <c r="J24" s="19"/>
      <c r="K24" s="2"/>
      <c r="L24" s="2">
        <f t="shared" si="0"/>
        <v>-284.97000000000003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--284.97</f>
        <v>284.97000000000003</v>
      </c>
      <c r="U24" s="2"/>
      <c r="V24" s="19"/>
      <c r="W24" s="2"/>
      <c r="X24" s="2">
        <f t="shared" si="2"/>
        <v>-284.97000000000003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 t="shared" si="6"/>
        <v>0</v>
      </c>
      <c r="E25" s="2"/>
      <c r="F25" s="19"/>
      <c r="G25" s="2"/>
      <c r="H25" s="2">
        <f>--73817.67</f>
        <v>73817.67</v>
      </c>
      <c r="I25" s="2"/>
      <c r="J25" s="19"/>
      <c r="K25" s="2"/>
      <c r="L25" s="2">
        <f t="shared" si="0"/>
        <v>-73817.67</v>
      </c>
      <c r="M25" s="2"/>
      <c r="N25" s="19">
        <f t="shared" si="1"/>
        <v>-1</v>
      </c>
      <c r="O25" s="11"/>
      <c r="P25" s="2">
        <f t="shared" si="7"/>
        <v>0</v>
      </c>
      <c r="Q25" s="2"/>
      <c r="R25" s="19"/>
      <c r="S25" s="2"/>
      <c r="T25" s="2">
        <f>--286707.85</f>
        <v>286707.84999999998</v>
      </c>
      <c r="U25" s="2"/>
      <c r="V25" s="19"/>
      <c r="W25" s="2"/>
      <c r="X25" s="2">
        <f t="shared" si="2"/>
        <v>-286707.84999999998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"4118", " - ", "NON-TAXABLE SALES-STUDY GUIDES")</f>
        <v xml:space="preserve">          4118 - NON-TAXABLE SALES-STUDY GUIDES</v>
      </c>
      <c r="C26" s="11"/>
      <c r="D26" s="2">
        <f t="shared" si="6"/>
        <v>0</v>
      </c>
      <c r="E26" s="2"/>
      <c r="F26" s="19"/>
      <c r="G26" s="2"/>
      <c r="H26" s="2">
        <f>--6.5</f>
        <v>6.5</v>
      </c>
      <c r="I26" s="2"/>
      <c r="J26" s="19"/>
      <c r="K26" s="2"/>
      <c r="L26" s="2">
        <f t="shared" si="0"/>
        <v>-6.5</v>
      </c>
      <c r="M26" s="2"/>
      <c r="N26" s="19">
        <f t="shared" si="1"/>
        <v>-1</v>
      </c>
      <c r="O26" s="11"/>
      <c r="P26" s="2">
        <f t="shared" si="7"/>
        <v>0</v>
      </c>
      <c r="Q26" s="2"/>
      <c r="R26" s="19"/>
      <c r="S26" s="2"/>
      <c r="T26" s="2">
        <f>--108.33</f>
        <v>108.33</v>
      </c>
      <c r="U26" s="2"/>
      <c r="V26" s="19"/>
      <c r="W26" s="2"/>
      <c r="X26" s="2">
        <f t="shared" si="2"/>
        <v>-108.33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"4200", " - ", "TAXABLE RETURNS")</f>
        <v xml:space="preserve">          4200 - TAXABLE RETURNS</v>
      </c>
      <c r="C27" s="11"/>
      <c r="D27" s="2">
        <f>-11496.04</f>
        <v>-11496.04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-11496.04</v>
      </c>
      <c r="M27" s="2"/>
      <c r="N27" s="19">
        <f t="shared" si="1"/>
        <v>0</v>
      </c>
      <c r="O27" s="11"/>
      <c r="P27" s="2">
        <f>-23905.08</f>
        <v>-23905.08</v>
      </c>
      <c r="Q27" s="2"/>
      <c r="R27" s="19"/>
      <c r="S27" s="2"/>
      <c r="T27" s="2">
        <f>0</f>
        <v>0</v>
      </c>
      <c r="U27" s="2"/>
      <c r="V27" s="19"/>
      <c r="W27" s="2"/>
      <c r="X27" s="2">
        <f t="shared" si="2"/>
        <v>-23905.08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 t="shared" ref="D28:D30" si="8">0</f>
        <v>0</v>
      </c>
      <c r="E28" s="2"/>
      <c r="F28" s="19"/>
      <c r="G28" s="2"/>
      <c r="H28" s="2">
        <f>-13393.2</f>
        <v>-13393.2</v>
      </c>
      <c r="I28" s="2"/>
      <c r="J28" s="19"/>
      <c r="K28" s="2"/>
      <c r="L28" s="2">
        <f t="shared" si="0"/>
        <v>13393.2</v>
      </c>
      <c r="M28" s="2"/>
      <c r="N28" s="19">
        <f t="shared" si="1"/>
        <v>-1</v>
      </c>
      <c r="O28" s="11"/>
      <c r="P28" s="2">
        <f t="shared" ref="P28:P30" si="9">0</f>
        <v>0</v>
      </c>
      <c r="Q28" s="2"/>
      <c r="R28" s="19"/>
      <c r="S28" s="2"/>
      <c r="T28" s="2">
        <f>-32248.99</f>
        <v>-32248.99</v>
      </c>
      <c r="U28" s="2"/>
      <c r="V28" s="19"/>
      <c r="W28" s="2"/>
      <c r="X28" s="2">
        <f t="shared" si="2"/>
        <v>32248.99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 t="shared" si="8"/>
        <v>0</v>
      </c>
      <c r="E29" s="2"/>
      <c r="F29" s="19"/>
      <c r="G29" s="2"/>
      <c r="H29" s="2">
        <f>-1345.2</f>
        <v>-1345.2</v>
      </c>
      <c r="I29" s="2"/>
      <c r="J29" s="19"/>
      <c r="K29" s="2"/>
      <c r="L29" s="2">
        <f t="shared" si="0"/>
        <v>1345.2</v>
      </c>
      <c r="M29" s="2"/>
      <c r="N29" s="19">
        <f t="shared" si="1"/>
        <v>-1</v>
      </c>
      <c r="O29" s="11"/>
      <c r="P29" s="2">
        <f t="shared" si="9"/>
        <v>0</v>
      </c>
      <c r="Q29" s="2"/>
      <c r="R29" s="19"/>
      <c r="S29" s="2"/>
      <c r="T29" s="2">
        <f>-10392.95</f>
        <v>-10392.950000000001</v>
      </c>
      <c r="U29" s="2"/>
      <c r="V29" s="19"/>
      <c r="W29" s="2"/>
      <c r="X29" s="2">
        <f t="shared" si="2"/>
        <v>10392.950000000001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"4204", " - ", "SALES RETURN TAXABLE-DIGITAL T")</f>
        <v xml:space="preserve">          4204 - SALES RETURN TAXABLE-DIGITAL T</v>
      </c>
      <c r="C30" s="11"/>
      <c r="D30" s="2">
        <f t="shared" si="8"/>
        <v>0</v>
      </c>
      <c r="E30" s="2"/>
      <c r="F30" s="19"/>
      <c r="G30" s="2"/>
      <c r="H30" s="2">
        <f>-105.87</f>
        <v>-105.87</v>
      </c>
      <c r="I30" s="2"/>
      <c r="J30" s="19"/>
      <c r="K30" s="2"/>
      <c r="L30" s="2">
        <f t="shared" si="0"/>
        <v>105.87</v>
      </c>
      <c r="M30" s="2"/>
      <c r="N30" s="19">
        <f t="shared" si="1"/>
        <v>-1</v>
      </c>
      <c r="O30" s="11"/>
      <c r="P30" s="2">
        <f t="shared" si="9"/>
        <v>0</v>
      </c>
      <c r="Q30" s="2"/>
      <c r="R30" s="19"/>
      <c r="S30" s="2"/>
      <c r="T30" s="2">
        <f>-1246.95</f>
        <v>-1246.95</v>
      </c>
      <c r="U30" s="2"/>
      <c r="V30" s="19"/>
      <c r="W30" s="2"/>
      <c r="X30" s="2">
        <f t="shared" si="2"/>
        <v>1246.95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"4300", " - ", "NON-TAX RETURNS")</f>
        <v xml:space="preserve">          4300 - NON-TAX RETURNS</v>
      </c>
      <c r="C31" s="11"/>
      <c r="D31" s="2">
        <f>-2374.8</f>
        <v>-2374.8000000000002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-2374.8000000000002</v>
      </c>
      <c r="M31" s="2"/>
      <c r="N31" s="19">
        <f t="shared" si="1"/>
        <v>0</v>
      </c>
      <c r="O31" s="11"/>
      <c r="P31" s="2">
        <f>-19547.26</f>
        <v>-19547.259999999998</v>
      </c>
      <c r="Q31" s="2"/>
      <c r="R31" s="19"/>
      <c r="S31" s="2"/>
      <c r="T31" s="2">
        <f>0</f>
        <v>0</v>
      </c>
      <c r="U31" s="2"/>
      <c r="V31" s="19"/>
      <c r="W31" s="2"/>
      <c r="X31" s="2">
        <f t="shared" si="2"/>
        <v>-19547.259999999998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"4301", " - ", "SALES RETURN NON TAXABLE-NEW T")</f>
        <v xml:space="preserve">          4301 - SALES RETURN NON TAXABLE-NEW T</v>
      </c>
      <c r="C32" s="11"/>
      <c r="D32" s="2">
        <f t="shared" ref="D32:D34" si="10">0</f>
        <v>0</v>
      </c>
      <c r="E32" s="2"/>
      <c r="F32" s="19"/>
      <c r="G32" s="2"/>
      <c r="H32" s="2">
        <f>-1820.43</f>
        <v>-1820.43</v>
      </c>
      <c r="I32" s="2"/>
      <c r="J32" s="19"/>
      <c r="K32" s="2"/>
      <c r="L32" s="2">
        <f t="shared" si="0"/>
        <v>1820.43</v>
      </c>
      <c r="M32" s="2"/>
      <c r="N32" s="19">
        <f t="shared" si="1"/>
        <v>-1</v>
      </c>
      <c r="O32" s="11"/>
      <c r="P32" s="2">
        <f t="shared" ref="P32:P34" si="11">0</f>
        <v>0</v>
      </c>
      <c r="Q32" s="2"/>
      <c r="R32" s="19"/>
      <c r="S32" s="2"/>
      <c r="T32" s="2">
        <f>-1840.68</f>
        <v>-1840.68</v>
      </c>
      <c r="U32" s="2"/>
      <c r="V32" s="19"/>
      <c r="W32" s="2"/>
      <c r="X32" s="2">
        <f t="shared" si="2"/>
        <v>1840.68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"4302", " - ", "SALES RETURN NON TAXABLE-TEXT")</f>
        <v xml:space="preserve">          4302 - SALES RETURN NON TAXABLE-TEXT</v>
      </c>
      <c r="C33" s="11"/>
      <c r="D33" s="2">
        <f t="shared" si="10"/>
        <v>0</v>
      </c>
      <c r="E33" s="2"/>
      <c r="F33" s="19"/>
      <c r="G33" s="2"/>
      <c r="H33" s="2">
        <f>-737.24</f>
        <v>-737.24</v>
      </c>
      <c r="I33" s="2"/>
      <c r="J33" s="19"/>
      <c r="K33" s="2"/>
      <c r="L33" s="2">
        <f t="shared" si="0"/>
        <v>737.24</v>
      </c>
      <c r="M33" s="2"/>
      <c r="N33" s="19">
        <f t="shared" si="1"/>
        <v>-1</v>
      </c>
      <c r="O33" s="11"/>
      <c r="P33" s="2">
        <f t="shared" si="11"/>
        <v>0</v>
      </c>
      <c r="Q33" s="2"/>
      <c r="R33" s="19"/>
      <c r="S33" s="2"/>
      <c r="T33" s="2">
        <f>-1147.08</f>
        <v>-1147.08</v>
      </c>
      <c r="U33" s="2"/>
      <c r="V33" s="19"/>
      <c r="W33" s="2"/>
      <c r="X33" s="2">
        <f t="shared" si="2"/>
        <v>1147.08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"4304", " - ", "SALES RETURN NON TAXABLE-DIGIT")</f>
        <v xml:space="preserve">          4304 - SALES RETURN NON TAXABLE-DIGIT</v>
      </c>
      <c r="C34" s="11"/>
      <c r="D34" s="2">
        <f t="shared" si="10"/>
        <v>0</v>
      </c>
      <c r="E34" s="2"/>
      <c r="F34" s="19"/>
      <c r="G34" s="2"/>
      <c r="H34" s="2">
        <f>-7456.63</f>
        <v>-7456.63</v>
      </c>
      <c r="I34" s="2"/>
      <c r="J34" s="19"/>
      <c r="K34" s="2"/>
      <c r="L34" s="2">
        <f t="shared" si="0"/>
        <v>7456.63</v>
      </c>
      <c r="M34" s="2"/>
      <c r="N34" s="19">
        <f t="shared" si="1"/>
        <v>-1</v>
      </c>
      <c r="O34" s="11"/>
      <c r="P34" s="2">
        <f t="shared" si="11"/>
        <v>0</v>
      </c>
      <c r="Q34" s="2"/>
      <c r="R34" s="19"/>
      <c r="S34" s="2"/>
      <c r="T34" s="2">
        <f>-13409.36</f>
        <v>-13409.36</v>
      </c>
      <c r="U34" s="2"/>
      <c r="V34" s="19"/>
      <c r="W34" s="2"/>
      <c r="X34" s="2">
        <f t="shared" si="2"/>
        <v>13409.36</v>
      </c>
      <c r="Y34" s="2"/>
      <c r="Z34" s="19">
        <f t="shared" si="3"/>
        <v>-1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6" t="s">
        <v>256</v>
      </c>
      <c r="C36" s="10"/>
      <c r="D36" s="4">
        <f>SUM(OSRRefD16x_0)</f>
        <v>225360.76000000004</v>
      </c>
      <c r="E36" s="4"/>
      <c r="F36" s="12">
        <f t="shared" ref="F36:F50" si="12">IF(D$12=0,0,D36/D$12)</f>
        <v>0.96161457170575604</v>
      </c>
      <c r="G36" s="4"/>
      <c r="H36" s="4">
        <f>SUM(OSRRefH16x_0)</f>
        <v>157316.5</v>
      </c>
      <c r="I36" s="4"/>
      <c r="J36" s="12">
        <f t="shared" ref="J36:J50" si="13">IF(H$12=0,0,H36/H$12)</f>
        <v>0.66273219997651833</v>
      </c>
      <c r="K36" s="4"/>
      <c r="L36" s="4">
        <f t="shared" ref="L36:L50" si="14">+D36-H36</f>
        <v>68044.260000000038</v>
      </c>
      <c r="M36" s="4"/>
      <c r="N36" s="12">
        <f t="shared" ref="N36:N50" si="15">IF(H36=0,0,L36/H36)</f>
        <v>0.43253098053923167</v>
      </c>
      <c r="O36" s="10"/>
      <c r="P36" s="4">
        <f>SUM(OSRRefP16x_0)</f>
        <v>1072513.99</v>
      </c>
      <c r="Q36" s="4"/>
      <c r="R36" s="12">
        <f t="shared" ref="R36:R50" si="16">IF(P$12=0,0,P36/P$12)</f>
        <v>0.82113116941870268</v>
      </c>
      <c r="S36" s="4"/>
      <c r="T36" s="4">
        <f>SUM(OSRRefT16x_0)</f>
        <v>1080495.8400000001</v>
      </c>
      <c r="U36" s="4"/>
      <c r="V36" s="12">
        <f t="shared" ref="V36:V50" si="17">IF(T$12=0,0,T36/T$12)</f>
        <v>0.71483926484495808</v>
      </c>
      <c r="W36" s="4"/>
      <c r="X36" s="4">
        <f t="shared" ref="X36:X50" si="18">+P36-T36</f>
        <v>-7981.8500000000931</v>
      </c>
      <c r="Y36" s="4"/>
      <c r="Z36" s="12">
        <f t="shared" ref="Z36:Z50" si="19">IF(T36=0,0,X36/T36)</f>
        <v>-7.3872103015223938E-3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>
        <v>580518.88</v>
      </c>
      <c r="E37" s="2"/>
      <c r="F37" s="19">
        <f t="shared" si="12"/>
        <v>2.477074598782437</v>
      </c>
      <c r="G37" s="2"/>
      <c r="H37" s="2">
        <v>0</v>
      </c>
      <c r="I37" s="2"/>
      <c r="J37" s="19">
        <f t="shared" si="13"/>
        <v>0</v>
      </c>
      <c r="K37" s="2"/>
      <c r="L37" s="2">
        <f t="shared" si="14"/>
        <v>580518.88</v>
      </c>
      <c r="M37" s="2"/>
      <c r="N37" s="19">
        <f t="shared" si="15"/>
        <v>0</v>
      </c>
      <c r="O37" s="11"/>
      <c r="P37" s="2">
        <v>1267520.5900000001</v>
      </c>
      <c r="Q37" s="2"/>
      <c r="R37" s="19">
        <f t="shared" si="16"/>
        <v>0.97043085128333295</v>
      </c>
      <c r="S37" s="2"/>
      <c r="T37" s="2">
        <v>0</v>
      </c>
      <c r="U37" s="2"/>
      <c r="V37" s="19">
        <f t="shared" si="17"/>
        <v>0</v>
      </c>
      <c r="W37" s="2"/>
      <c r="X37" s="2">
        <f t="shared" si="18"/>
        <v>1267520.5900000001</v>
      </c>
      <c r="Y37" s="2"/>
      <c r="Z37" s="19">
        <f t="shared" si="19"/>
        <v>0</v>
      </c>
    </row>
    <row r="38" spans="1:26" s="24" customFormat="1" hidden="1" outlineLevel="1" x14ac:dyDescent="0.25">
      <c r="A38" s="44"/>
      <c r="B38" s="11" t="str">
        <f>CONCATENATE("          ", "5001", " - ", "PURCHASES @ COST-NEW TEXT")</f>
        <v xml:space="preserve">          5001 - PURCHASES @ COST-NEW TEXT</v>
      </c>
      <c r="C38" s="11"/>
      <c r="D38" s="2">
        <v>0</v>
      </c>
      <c r="E38" s="2"/>
      <c r="F38" s="19">
        <f t="shared" si="12"/>
        <v>0</v>
      </c>
      <c r="G38" s="2"/>
      <c r="H38" s="2">
        <v>602088.99</v>
      </c>
      <c r="I38" s="2"/>
      <c r="J38" s="19">
        <f t="shared" si="13"/>
        <v>2.5364393494918835</v>
      </c>
      <c r="K38" s="2"/>
      <c r="L38" s="2">
        <f t="shared" si="14"/>
        <v>-602088.99</v>
      </c>
      <c r="M38" s="2"/>
      <c r="N38" s="19">
        <f t="shared" si="15"/>
        <v>-1</v>
      </c>
      <c r="O38" s="11"/>
      <c r="P38" s="2">
        <v>0</v>
      </c>
      <c r="Q38" s="2"/>
      <c r="R38" s="19">
        <f t="shared" si="16"/>
        <v>0</v>
      </c>
      <c r="S38" s="2"/>
      <c r="T38" s="2">
        <v>1293421.76</v>
      </c>
      <c r="U38" s="2"/>
      <c r="V38" s="19">
        <f t="shared" si="17"/>
        <v>0.85570774622591017</v>
      </c>
      <c r="W38" s="2"/>
      <c r="X38" s="2">
        <f t="shared" si="18"/>
        <v>-1293421.76</v>
      </c>
      <c r="Y38" s="2"/>
      <c r="Z38" s="19">
        <f t="shared" si="19"/>
        <v>-1</v>
      </c>
    </row>
    <row r="39" spans="1:26" s="24" customFormat="1" hidden="1" outlineLevel="1" x14ac:dyDescent="0.25">
      <c r="A39" s="44"/>
      <c r="B39" s="11" t="str">
        <f>CONCATENATE("          ", "5002", " - ", "PURCHASES @ COST-USED TEXT")</f>
        <v xml:space="preserve">          5002 - PURCHASES @ COST-USED TEXT</v>
      </c>
      <c r="C39" s="11"/>
      <c r="D39" s="2">
        <v>0</v>
      </c>
      <c r="E39" s="2"/>
      <c r="F39" s="19">
        <f t="shared" si="12"/>
        <v>0</v>
      </c>
      <c r="G39" s="2"/>
      <c r="H39" s="2">
        <v>108363.86</v>
      </c>
      <c r="I39" s="2"/>
      <c r="J39" s="19">
        <f t="shared" si="13"/>
        <v>0.45650786367448698</v>
      </c>
      <c r="K39" s="2"/>
      <c r="L39" s="2">
        <f t="shared" si="14"/>
        <v>-108363.86</v>
      </c>
      <c r="M39" s="2"/>
      <c r="N39" s="19">
        <f t="shared" si="15"/>
        <v>-1</v>
      </c>
      <c r="O39" s="11"/>
      <c r="P39" s="2">
        <v>0</v>
      </c>
      <c r="Q39" s="2"/>
      <c r="R39" s="19">
        <f t="shared" si="16"/>
        <v>0</v>
      </c>
      <c r="S39" s="2"/>
      <c r="T39" s="2">
        <v>296731.38</v>
      </c>
      <c r="U39" s="2"/>
      <c r="V39" s="19">
        <f t="shared" si="17"/>
        <v>0.19631287200108968</v>
      </c>
      <c r="W39" s="2"/>
      <c r="X39" s="2">
        <f t="shared" si="18"/>
        <v>-296731.38</v>
      </c>
      <c r="Y39" s="2"/>
      <c r="Z39" s="19">
        <f t="shared" si="19"/>
        <v>-1</v>
      </c>
    </row>
    <row r="40" spans="1:26" s="24" customFormat="1" hidden="1" outlineLevel="1" x14ac:dyDescent="0.25">
      <c r="A40" s="44"/>
      <c r="B40" s="11" t="str">
        <f>CONCATENATE("          ", "5003", " - ", "PURCHASES @ COST-RENTAL TEXT")</f>
        <v xml:space="preserve">          5003 - PURCHASES @ COST-RENTAL TEXT</v>
      </c>
      <c r="C40" s="11"/>
      <c r="D40" s="2"/>
      <c r="E40" s="2"/>
      <c r="F40" s="19">
        <f t="shared" si="12"/>
        <v>0</v>
      </c>
      <c r="G40" s="2"/>
      <c r="H40" s="2">
        <v>781.74</v>
      </c>
      <c r="I40" s="2"/>
      <c r="J40" s="19">
        <f t="shared" si="13"/>
        <v>3.2932608468256249E-3</v>
      </c>
      <c r="K40" s="2"/>
      <c r="L40" s="2">
        <f t="shared" si="14"/>
        <v>-781.74</v>
      </c>
      <c r="M40" s="2"/>
      <c r="N40" s="19">
        <f t="shared" si="15"/>
        <v>-1</v>
      </c>
      <c r="O40" s="11"/>
      <c r="P40" s="2"/>
      <c r="Q40" s="2"/>
      <c r="R40" s="19">
        <f t="shared" si="16"/>
        <v>0</v>
      </c>
      <c r="S40" s="2"/>
      <c r="T40" s="2">
        <v>-11086.1</v>
      </c>
      <c r="U40" s="2"/>
      <c r="V40" s="19">
        <f t="shared" si="17"/>
        <v>-7.3343915641523334E-3</v>
      </c>
      <c r="W40" s="2"/>
      <c r="X40" s="2">
        <f t="shared" si="18"/>
        <v>11086.1</v>
      </c>
      <c r="Y40" s="2"/>
      <c r="Z40" s="19">
        <f t="shared" si="19"/>
        <v>-1</v>
      </c>
    </row>
    <row r="41" spans="1:26" s="24" customFormat="1" hidden="1" outlineLevel="1" x14ac:dyDescent="0.25">
      <c r="A41" s="44"/>
      <c r="B41" s="11" t="str">
        <f>CONCATENATE("          ", "5004", " - ", "PURCHASES @ COST-DIGITAL TEXT")</f>
        <v xml:space="preserve">          5004 - PURCHASES @ COST-DIGITAL TEXT</v>
      </c>
      <c r="C41" s="11"/>
      <c r="D41" s="2">
        <v>0</v>
      </c>
      <c r="E41" s="2"/>
      <c r="F41" s="19">
        <f t="shared" si="12"/>
        <v>0</v>
      </c>
      <c r="G41" s="2"/>
      <c r="H41" s="2">
        <v>60186.1</v>
      </c>
      <c r="I41" s="2"/>
      <c r="J41" s="19">
        <f t="shared" si="13"/>
        <v>0.25354788888010299</v>
      </c>
      <c r="K41" s="2"/>
      <c r="L41" s="2">
        <f t="shared" si="14"/>
        <v>-60186.1</v>
      </c>
      <c r="M41" s="2"/>
      <c r="N41" s="19">
        <f t="shared" si="15"/>
        <v>-1</v>
      </c>
      <c r="O41" s="11"/>
      <c r="P41" s="2">
        <v>0</v>
      </c>
      <c r="Q41" s="2"/>
      <c r="R41" s="19">
        <f t="shared" si="16"/>
        <v>0</v>
      </c>
      <c r="S41" s="2"/>
      <c r="T41" s="2">
        <v>182616.07</v>
      </c>
      <c r="U41" s="2"/>
      <c r="V41" s="19">
        <f t="shared" si="17"/>
        <v>0.12081595541142981</v>
      </c>
      <c r="W41" s="2"/>
      <c r="X41" s="2">
        <f t="shared" si="18"/>
        <v>-182616.07</v>
      </c>
      <c r="Y41" s="2"/>
      <c r="Z41" s="19">
        <f t="shared" si="19"/>
        <v>-1</v>
      </c>
    </row>
    <row r="42" spans="1:26" s="24" customFormat="1" hidden="1" outlineLevel="1" x14ac:dyDescent="0.25">
      <c r="A42" s="44"/>
      <c r="B42" s="11" t="str">
        <f>CONCATENATE("          ", "5013", " - ", "PURCHASES @ COST-TRADE BOOKS")</f>
        <v xml:space="preserve">          5013 - PURCHASES @ COST-TRADE BOOKS</v>
      </c>
      <c r="C42" s="11"/>
      <c r="D42" s="2"/>
      <c r="E42" s="2"/>
      <c r="F42" s="19">
        <f t="shared" si="12"/>
        <v>0</v>
      </c>
      <c r="G42" s="2"/>
      <c r="H42" s="2">
        <v>-9.36</v>
      </c>
      <c r="I42" s="2"/>
      <c r="J42" s="19">
        <f t="shared" si="13"/>
        <v>-3.9431168324875084E-5</v>
      </c>
      <c r="K42" s="2"/>
      <c r="L42" s="2">
        <f t="shared" si="14"/>
        <v>9.36</v>
      </c>
      <c r="M42" s="2"/>
      <c r="N42" s="19">
        <f t="shared" si="15"/>
        <v>-1</v>
      </c>
      <c r="O42" s="11"/>
      <c r="P42" s="2"/>
      <c r="Q42" s="2"/>
      <c r="R42" s="19">
        <f t="shared" si="16"/>
        <v>0</v>
      </c>
      <c r="S42" s="2"/>
      <c r="T42" s="2">
        <v>99.18</v>
      </c>
      <c r="U42" s="2"/>
      <c r="V42" s="19">
        <f t="shared" si="17"/>
        <v>6.5615947477708881E-5</v>
      </c>
      <c r="W42" s="2"/>
      <c r="X42" s="2">
        <f t="shared" si="18"/>
        <v>-99.18</v>
      </c>
      <c r="Y42" s="2"/>
      <c r="Z42" s="19">
        <f t="shared" si="19"/>
        <v>-1</v>
      </c>
    </row>
    <row r="43" spans="1:26" s="24" customFormat="1" hidden="1" outlineLevel="1" x14ac:dyDescent="0.25">
      <c r="A43" s="44"/>
      <c r="B43" s="11" t="str">
        <f>CONCATENATE("          ", "5014", " - ", "PURCHASES @ COST-REMAINDERS")</f>
        <v xml:space="preserve">          5014 - PURCHASES @ COST-REMAINDERS</v>
      </c>
      <c r="C43" s="11"/>
      <c r="D43" s="2"/>
      <c r="E43" s="2"/>
      <c r="F43" s="19">
        <f t="shared" si="12"/>
        <v>0</v>
      </c>
      <c r="G43" s="2"/>
      <c r="H43" s="2"/>
      <c r="I43" s="2"/>
      <c r="J43" s="19">
        <f t="shared" si="13"/>
        <v>0</v>
      </c>
      <c r="K43" s="2"/>
      <c r="L43" s="2">
        <f t="shared" si="14"/>
        <v>0</v>
      </c>
      <c r="M43" s="2"/>
      <c r="N43" s="19">
        <f t="shared" si="15"/>
        <v>0</v>
      </c>
      <c r="O43" s="11"/>
      <c r="P43" s="2"/>
      <c r="Q43" s="2"/>
      <c r="R43" s="19">
        <f t="shared" si="16"/>
        <v>0</v>
      </c>
      <c r="S43" s="2"/>
      <c r="T43" s="2">
        <v>-12.51</v>
      </c>
      <c r="U43" s="2"/>
      <c r="V43" s="19">
        <f t="shared" si="17"/>
        <v>-8.2764216872972176E-6</v>
      </c>
      <c r="W43" s="2"/>
      <c r="X43" s="2">
        <f t="shared" si="18"/>
        <v>12.51</v>
      </c>
      <c r="Y43" s="2"/>
      <c r="Z43" s="19">
        <f t="shared" si="19"/>
        <v>-1</v>
      </c>
    </row>
    <row r="44" spans="1:26" s="24" customFormat="1" hidden="1" outlineLevel="1" x14ac:dyDescent="0.2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-548708.86</v>
      </c>
      <c r="E44" s="2"/>
      <c r="F44" s="19">
        <f t="shared" si="12"/>
        <v>-2.3413412139720045</v>
      </c>
      <c r="G44" s="2"/>
      <c r="H44" s="2">
        <v>-757174.69</v>
      </c>
      <c r="I44" s="2"/>
      <c r="J44" s="19">
        <f t="shared" si="13"/>
        <v>-3.1897737876843064</v>
      </c>
      <c r="K44" s="2"/>
      <c r="L44" s="2">
        <f t="shared" si="14"/>
        <v>208465.82999999996</v>
      </c>
      <c r="M44" s="2"/>
      <c r="N44" s="19">
        <f t="shared" si="15"/>
        <v>-0.27532065288658814</v>
      </c>
      <c r="O44" s="11"/>
      <c r="P44" s="2">
        <v>-1036371.64</v>
      </c>
      <c r="Q44" s="2"/>
      <c r="R44" s="19">
        <f t="shared" si="16"/>
        <v>-0.79346009901985404</v>
      </c>
      <c r="S44" s="2"/>
      <c r="T44" s="2">
        <v>-1438527.63</v>
      </c>
      <c r="U44" s="2"/>
      <c r="V44" s="19">
        <f t="shared" si="17"/>
        <v>-0.95170753594790303</v>
      </c>
      <c r="W44" s="2"/>
      <c r="X44" s="2">
        <f t="shared" si="18"/>
        <v>402155.98999999987</v>
      </c>
      <c r="Y44" s="2"/>
      <c r="Z44" s="19">
        <f t="shared" si="19"/>
        <v>-0.27956083818841904</v>
      </c>
    </row>
    <row r="45" spans="1:26" s="24" customFormat="1" hidden="1" outlineLevel="1" x14ac:dyDescent="0.25">
      <c r="A45" s="44"/>
      <c r="B45" s="11" t="str">
        <f>CONCATENATE("          ", "5300", " - ", "COG$ OFFSET")</f>
        <v xml:space="preserve">          5300 - COG$ OFFSET</v>
      </c>
      <c r="C45" s="11"/>
      <c r="D45" s="2">
        <v>179347.67</v>
      </c>
      <c r="E45" s="2"/>
      <c r="F45" s="19">
        <f t="shared" si="12"/>
        <v>0.76527667404687161</v>
      </c>
      <c r="G45" s="2"/>
      <c r="H45" s="2">
        <v>130513</v>
      </c>
      <c r="I45" s="2"/>
      <c r="J45" s="19">
        <f t="shared" si="13"/>
        <v>0.54981624696414766</v>
      </c>
      <c r="K45" s="2"/>
      <c r="L45" s="2">
        <f t="shared" si="14"/>
        <v>48834.670000000013</v>
      </c>
      <c r="M45" s="2"/>
      <c r="N45" s="19">
        <f t="shared" si="15"/>
        <v>0.37417475653766302</v>
      </c>
      <c r="O45" s="11"/>
      <c r="P45" s="2">
        <v>821540.24</v>
      </c>
      <c r="Q45" s="2"/>
      <c r="R45" s="19">
        <f t="shared" si="16"/>
        <v>0.62898228301499515</v>
      </c>
      <c r="S45" s="2"/>
      <c r="T45" s="2">
        <v>737969</v>
      </c>
      <c r="U45" s="2"/>
      <c r="V45" s="19">
        <f t="shared" si="17"/>
        <v>0.48822882782997923</v>
      </c>
      <c r="W45" s="2"/>
      <c r="X45" s="2">
        <f t="shared" si="18"/>
        <v>83571.239999999991</v>
      </c>
      <c r="Y45" s="2"/>
      <c r="Z45" s="19">
        <f t="shared" si="19"/>
        <v>0.11324491950203869</v>
      </c>
    </row>
    <row r="46" spans="1:26" s="24" customFormat="1" hidden="1" outlineLevel="1" x14ac:dyDescent="0.25">
      <c r="A46" s="44"/>
      <c r="B46" s="11" t="str">
        <f>CONCATENATE("          ", "5500", " - ", "FREIGHT-IN")</f>
        <v xml:space="preserve">          5500 - FREIGHT-IN</v>
      </c>
      <c r="C46" s="11"/>
      <c r="D46" s="2">
        <v>14203.07</v>
      </c>
      <c r="E46" s="2"/>
      <c r="F46" s="19">
        <f t="shared" si="12"/>
        <v>6.0604512848451829E-2</v>
      </c>
      <c r="G46" s="2"/>
      <c r="H46" s="2">
        <v>0</v>
      </c>
      <c r="I46" s="2"/>
      <c r="J46" s="19">
        <f t="shared" si="13"/>
        <v>0</v>
      </c>
      <c r="K46" s="2"/>
      <c r="L46" s="2">
        <f t="shared" si="14"/>
        <v>14203.07</v>
      </c>
      <c r="M46" s="2"/>
      <c r="N46" s="19">
        <f t="shared" si="15"/>
        <v>0</v>
      </c>
      <c r="O46" s="11"/>
      <c r="P46" s="2">
        <v>19824.8</v>
      </c>
      <c r="Q46" s="2"/>
      <c r="R46" s="19">
        <f t="shared" si="16"/>
        <v>1.5178134140228694E-2</v>
      </c>
      <c r="S46" s="2"/>
      <c r="T46" s="2">
        <v>0</v>
      </c>
      <c r="U46" s="2"/>
      <c r="V46" s="19">
        <f t="shared" si="17"/>
        <v>0</v>
      </c>
      <c r="W46" s="2"/>
      <c r="X46" s="2">
        <f t="shared" si="18"/>
        <v>19824.8</v>
      </c>
      <c r="Y46" s="2"/>
      <c r="Z46" s="19">
        <f t="shared" si="19"/>
        <v>0</v>
      </c>
    </row>
    <row r="47" spans="1:26" s="24" customFormat="1" hidden="1" outlineLevel="1" x14ac:dyDescent="0.25">
      <c r="A47" s="44"/>
      <c r="B47" s="11" t="str">
        <f>CONCATENATE("          ", "5501", " - ", "FREIGHT-IN-NEW TEXT")</f>
        <v xml:space="preserve">          5501 - FREIGHT-IN-NEW TEXT</v>
      </c>
      <c r="C47" s="11"/>
      <c r="D47" s="2">
        <v>0</v>
      </c>
      <c r="E47" s="2"/>
      <c r="F47" s="19">
        <f t="shared" si="12"/>
        <v>0</v>
      </c>
      <c r="G47" s="2"/>
      <c r="H47" s="2">
        <v>5279.6</v>
      </c>
      <c r="I47" s="2"/>
      <c r="J47" s="19">
        <f t="shared" si="13"/>
        <v>2.2241538064958388E-2</v>
      </c>
      <c r="K47" s="2"/>
      <c r="L47" s="2">
        <f t="shared" si="14"/>
        <v>-5279.6</v>
      </c>
      <c r="M47" s="2"/>
      <c r="N47" s="19">
        <f t="shared" si="15"/>
        <v>-1</v>
      </c>
      <c r="O47" s="11"/>
      <c r="P47" s="2">
        <v>0</v>
      </c>
      <c r="Q47" s="2"/>
      <c r="R47" s="19">
        <f t="shared" si="16"/>
        <v>0</v>
      </c>
      <c r="S47" s="2"/>
      <c r="T47" s="2">
        <v>10762.88</v>
      </c>
      <c r="U47" s="2"/>
      <c r="V47" s="19">
        <f t="shared" si="17"/>
        <v>7.1205542325961206E-3</v>
      </c>
      <c r="W47" s="2"/>
      <c r="X47" s="2">
        <f t="shared" si="18"/>
        <v>-10762.88</v>
      </c>
      <c r="Y47" s="2"/>
      <c r="Z47" s="19">
        <f t="shared" si="19"/>
        <v>-1</v>
      </c>
    </row>
    <row r="48" spans="1:26" s="24" customFormat="1" hidden="1" outlineLevel="1" x14ac:dyDescent="0.25">
      <c r="A48" s="44"/>
      <c r="B48" s="11" t="str">
        <f>CONCATENATE("          ", "5502", " - ", "FREIGHT-IN-USED TEXT")</f>
        <v xml:space="preserve">          5502 - FREIGHT-IN-USED TEXT</v>
      </c>
      <c r="C48" s="11"/>
      <c r="D48" s="2">
        <v>0</v>
      </c>
      <c r="E48" s="2"/>
      <c r="F48" s="19">
        <f t="shared" si="12"/>
        <v>0</v>
      </c>
      <c r="G48" s="2"/>
      <c r="H48" s="2">
        <v>7276.27</v>
      </c>
      <c r="I48" s="2"/>
      <c r="J48" s="19">
        <f t="shared" si="13"/>
        <v>3.0652972985816117E-2</v>
      </c>
      <c r="K48" s="2"/>
      <c r="L48" s="2">
        <f t="shared" si="14"/>
        <v>-7276.27</v>
      </c>
      <c r="M48" s="2"/>
      <c r="N48" s="19">
        <f t="shared" si="15"/>
        <v>-1</v>
      </c>
      <c r="O48" s="11"/>
      <c r="P48" s="2">
        <v>0</v>
      </c>
      <c r="Q48" s="2"/>
      <c r="R48" s="19">
        <f t="shared" si="16"/>
        <v>0</v>
      </c>
      <c r="S48" s="2"/>
      <c r="T48" s="2">
        <v>8510.82</v>
      </c>
      <c r="U48" s="2"/>
      <c r="V48" s="19">
        <f t="shared" si="17"/>
        <v>5.630626316921095E-3</v>
      </c>
      <c r="W48" s="2"/>
      <c r="X48" s="2">
        <f t="shared" si="18"/>
        <v>-8510.82</v>
      </c>
      <c r="Y48" s="2"/>
      <c r="Z48" s="19">
        <f t="shared" si="19"/>
        <v>-1</v>
      </c>
    </row>
    <row r="49" spans="1:26" s="24" customFormat="1" hidden="1" outlineLevel="1" x14ac:dyDescent="0.25">
      <c r="A49" s="44"/>
      <c r="B49" s="11" t="str">
        <f>CONCATENATE("          ", "5504", " - ", "FREIGHT-IN-DIGITAL TEXT")</f>
        <v xml:space="preserve">          5504 - FREIGHT-IN-DIGITAL TEXT</v>
      </c>
      <c r="C49" s="11"/>
      <c r="D49" s="2"/>
      <c r="E49" s="2"/>
      <c r="F49" s="19">
        <f t="shared" si="12"/>
        <v>0</v>
      </c>
      <c r="G49" s="2"/>
      <c r="H49" s="2">
        <v>10.99</v>
      </c>
      <c r="I49" s="2"/>
      <c r="J49" s="19">
        <f t="shared" si="13"/>
        <v>4.6297920928459103E-5</v>
      </c>
      <c r="K49" s="2"/>
      <c r="L49" s="2">
        <f t="shared" si="14"/>
        <v>-10.99</v>
      </c>
      <c r="M49" s="2"/>
      <c r="N49" s="19">
        <f t="shared" si="15"/>
        <v>-1</v>
      </c>
      <c r="O49" s="11"/>
      <c r="P49" s="2"/>
      <c r="Q49" s="2"/>
      <c r="R49" s="19">
        <f t="shared" si="16"/>
        <v>0</v>
      </c>
      <c r="S49" s="2"/>
      <c r="T49" s="2">
        <v>10.99</v>
      </c>
      <c r="U49" s="2"/>
      <c r="V49" s="19">
        <f t="shared" si="17"/>
        <v>7.270813296834246E-6</v>
      </c>
      <c r="W49" s="2"/>
      <c r="X49" s="2">
        <f t="shared" si="18"/>
        <v>-10.99</v>
      </c>
      <c r="Y49" s="2"/>
      <c r="Z49" s="19">
        <f t="shared" si="19"/>
        <v>-1</v>
      </c>
    </row>
    <row r="50" spans="1:26" s="24" customFormat="1" hidden="1" outlineLevel="1" x14ac:dyDescent="0.25">
      <c r="A50" s="44"/>
      <c r="B50" s="11" t="str">
        <f>CONCATENATE("          ", "5518", " - ", "FREIGHT-IN-STUDY GUIDES")</f>
        <v xml:space="preserve">          5518 - FREIGHT-IN-STUDY GUIDES</v>
      </c>
      <c r="C50" s="11"/>
      <c r="D50" s="2"/>
      <c r="E50" s="2"/>
      <c r="F50" s="19">
        <f t="shared" si="12"/>
        <v>0</v>
      </c>
      <c r="G50" s="2"/>
      <c r="H50" s="2"/>
      <c r="I50" s="2"/>
      <c r="J50" s="19">
        <f t="shared" si="13"/>
        <v>0</v>
      </c>
      <c r="K50" s="2"/>
      <c r="L50" s="2">
        <f t="shared" si="14"/>
        <v>0</v>
      </c>
      <c r="M50" s="2"/>
      <c r="N50" s="19">
        <f t="shared" si="15"/>
        <v>0</v>
      </c>
      <c r="O50" s="11"/>
      <c r="P50" s="2">
        <v>0</v>
      </c>
      <c r="Q50" s="2"/>
      <c r="R50" s="19">
        <f t="shared" si="16"/>
        <v>0</v>
      </c>
      <c r="S50" s="2"/>
      <c r="T50" s="2"/>
      <c r="U50" s="2"/>
      <c r="V50" s="19">
        <f t="shared" si="17"/>
        <v>0</v>
      </c>
      <c r="W50" s="2"/>
      <c r="X50" s="2">
        <f t="shared" si="18"/>
        <v>0</v>
      </c>
      <c r="Y50" s="2"/>
      <c r="Z50" s="19">
        <f t="shared" si="19"/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5" t="s">
        <v>107</v>
      </c>
      <c r="C52" s="25"/>
      <c r="D52" s="21">
        <f>D12-D36</f>
        <v>8995.8799999999464</v>
      </c>
      <c r="E52" s="13"/>
      <c r="F52" s="22">
        <f>IF(D$12=0,0,D52/D$12)</f>
        <v>3.8385428294243969E-2</v>
      </c>
      <c r="G52" s="13"/>
      <c r="H52" s="21">
        <f>H12-H36</f>
        <v>80059.169999999984</v>
      </c>
      <c r="I52" s="13"/>
      <c r="J52" s="22">
        <f>IF(H$12=0,0,H52/H$12)</f>
        <v>0.33726780002348172</v>
      </c>
      <c r="K52" s="16"/>
      <c r="L52" s="21">
        <f>+D52-H52</f>
        <v>-71063.290000000037</v>
      </c>
      <c r="M52" s="16"/>
      <c r="N52" s="22">
        <f>IF(H52=0,0,L52/H52)</f>
        <v>-0.88763460825287166</v>
      </c>
      <c r="O52" s="26"/>
      <c r="P52" s="21">
        <f>P12-P36</f>
        <v>233628.10999999987</v>
      </c>
      <c r="Q52" s="13"/>
      <c r="R52" s="22">
        <f>IF(P$12=0,0,P52/P$12)</f>
        <v>0.17886883058129732</v>
      </c>
      <c r="S52" s="13"/>
      <c r="T52" s="21">
        <f>T12-T36</f>
        <v>431026.95000000019</v>
      </c>
      <c r="U52" s="13"/>
      <c r="V52" s="22">
        <f>IF(T$12=0,0,T52/T$12)</f>
        <v>0.28516073515504198</v>
      </c>
      <c r="W52" s="16"/>
      <c r="X52" s="21">
        <f>+P52-T52</f>
        <v>-197398.84000000032</v>
      </c>
      <c r="Y52" s="16"/>
      <c r="Z52" s="22">
        <f>IF(T52=0,0,X52/T52)</f>
        <v>-0.45797331234160704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6" t="s">
        <v>294</v>
      </c>
      <c r="C54" s="10"/>
      <c r="D54" s="20">
        <f>SUM(OSRRefD22x_0)</f>
        <v>42592.3</v>
      </c>
      <c r="E54" s="20"/>
      <c r="F54" s="30">
        <f t="shared" ref="F54:F64" si="20">IF(D$12=0,0,D54/D$12)</f>
        <v>0.18174138355968922</v>
      </c>
      <c r="G54" s="20"/>
      <c r="H54" s="20">
        <f>SUM(OSRRefH22x_0)</f>
        <v>39896.36</v>
      </c>
      <c r="I54" s="20"/>
      <c r="J54" s="30">
        <f t="shared" ref="J54:J64" si="21">IF(H$12=0,0,H54/H$12)</f>
        <v>0.16807265883651851</v>
      </c>
      <c r="K54" s="4"/>
      <c r="L54" s="20">
        <f t="shared" ref="L54:L64" si="22">+D54-H54</f>
        <v>2695.9400000000023</v>
      </c>
      <c r="M54" s="4"/>
      <c r="N54" s="30">
        <f t="shared" ref="N54:N64" si="23">IF(H54=0,0,L54/H54)</f>
        <v>6.7573583153951941E-2</v>
      </c>
      <c r="O54" s="10"/>
      <c r="P54" s="20">
        <f>SUM(OSRRefP22x_0)</f>
        <v>144893.85000000003</v>
      </c>
      <c r="Q54" s="20"/>
      <c r="R54" s="30">
        <f t="shared" ref="R54:R64" si="24">IF(P$12=0,0,P54/P$12)</f>
        <v>0.11093268488933941</v>
      </c>
      <c r="S54" s="20"/>
      <c r="T54" s="20">
        <f>SUM(OSRRefT22x_0)</f>
        <v>128431.01</v>
      </c>
      <c r="U54" s="20"/>
      <c r="V54" s="30">
        <f t="shared" ref="V54:V64" si="25">IF(T$12=0,0,T54/T$12)</f>
        <v>8.496796134975905E-2</v>
      </c>
      <c r="W54" s="4"/>
      <c r="X54" s="20">
        <f t="shared" ref="X54:X64" si="26">+P54-T54</f>
        <v>16462.84000000004</v>
      </c>
      <c r="Y54" s="4"/>
      <c r="Z54" s="30">
        <f t="shared" ref="Z54:Z64" si="27">IF(T54=0,0,X54/T54)</f>
        <v>0.12818430688974602</v>
      </c>
    </row>
    <row r="55" spans="1:26" s="27" customFormat="1" outlineLevel="1" collapsed="1" x14ac:dyDescent="0.25">
      <c r="A55" s="29"/>
      <c r="B55" s="14" t="str">
        <f>CONCATENATE("     ","*Benefits                                         ")</f>
        <v xml:space="preserve">     *Benefits                                         </v>
      </c>
      <c r="C55" s="14"/>
      <c r="D55" s="1">
        <f>SUM(OSRRefD22_0x_0)</f>
        <v>11720.22</v>
      </c>
      <c r="E55" s="1"/>
      <c r="F55" s="5">
        <f t="shared" si="20"/>
        <v>5.0010189598212365E-2</v>
      </c>
      <c r="G55" s="1"/>
      <c r="H55" s="1">
        <f>SUM(OSRRefH22_0x_0)</f>
        <v>10776.93</v>
      </c>
      <c r="I55" s="1"/>
      <c r="J55" s="5">
        <f t="shared" si="21"/>
        <v>4.5400314193952566E-2</v>
      </c>
      <c r="K55" s="1"/>
      <c r="L55" s="1">
        <f t="shared" si="22"/>
        <v>943.28999999999905</v>
      </c>
      <c r="M55" s="1"/>
      <c r="N55" s="5">
        <f t="shared" si="23"/>
        <v>8.7528637561902975E-2</v>
      </c>
      <c r="O55" s="14"/>
      <c r="P55" s="1">
        <f>SUM(OSRRefP22_0x_0)</f>
        <v>36222.46</v>
      </c>
      <c r="Q55" s="1"/>
      <c r="R55" s="5">
        <f t="shared" si="24"/>
        <v>2.7732403694820038E-2</v>
      </c>
      <c r="S55" s="1"/>
      <c r="T55" s="1">
        <f>SUM(OSRRefT22_0x_0)</f>
        <v>32591.090000000004</v>
      </c>
      <c r="U55" s="1"/>
      <c r="V55" s="5">
        <f t="shared" si="25"/>
        <v>2.1561758919956476E-2</v>
      </c>
      <c r="W55" s="1"/>
      <c r="X55" s="1">
        <f t="shared" si="26"/>
        <v>3631.3699999999953</v>
      </c>
      <c r="Y55" s="1"/>
      <c r="Z55" s="5">
        <f t="shared" si="27"/>
        <v>0.11142217090621992</v>
      </c>
    </row>
    <row r="56" spans="1:26" s="24" customFormat="1" hidden="1" outlineLevel="2" x14ac:dyDescent="0.25">
      <c r="A56" s="28"/>
      <c r="B56" s="11" t="str">
        <f>CONCATENATE("          ", "6111", " - ", "F.I.C.A.")</f>
        <v xml:space="preserve">          6111 - F.I.C.A.</v>
      </c>
      <c r="C56" s="11"/>
      <c r="D56" s="7">
        <v>1747.21</v>
      </c>
      <c r="E56" s="2"/>
      <c r="F56" s="6">
        <f t="shared" si="20"/>
        <v>7.4553466887048734E-3</v>
      </c>
      <c r="G56" s="2"/>
      <c r="H56" s="7">
        <v>2005.88</v>
      </c>
      <c r="I56" s="2"/>
      <c r="J56" s="6">
        <f t="shared" si="21"/>
        <v>8.4502341794338073E-3</v>
      </c>
      <c r="K56" s="2"/>
      <c r="L56" s="7">
        <f t="shared" si="22"/>
        <v>-258.67000000000007</v>
      </c>
      <c r="M56" s="2"/>
      <c r="N56" s="6">
        <f t="shared" si="23"/>
        <v>-0.12895586974295575</v>
      </c>
      <c r="O56" s="11"/>
      <c r="P56" s="7">
        <v>6411.52</v>
      </c>
      <c r="Q56" s="2"/>
      <c r="R56" s="6">
        <f t="shared" si="24"/>
        <v>4.908746146380245E-3</v>
      </c>
      <c r="S56" s="2"/>
      <c r="T56" s="7">
        <v>6099.88</v>
      </c>
      <c r="U56" s="2"/>
      <c r="V56" s="6">
        <f t="shared" si="25"/>
        <v>4.0355858610639931E-3</v>
      </c>
      <c r="W56" s="2"/>
      <c r="X56" s="7">
        <f t="shared" si="26"/>
        <v>311.64000000000033</v>
      </c>
      <c r="Y56" s="2"/>
      <c r="Z56" s="6">
        <f t="shared" si="27"/>
        <v>5.1089529630091134E-2</v>
      </c>
    </row>
    <row r="57" spans="1:26" s="24" customFormat="1" hidden="1" outlineLevel="2" x14ac:dyDescent="0.25">
      <c r="A57" s="28"/>
      <c r="B57" s="11" t="str">
        <f>CONCATENATE("          ", "6112", " - ", "COMPENSATION INSURANCE")</f>
        <v xml:space="preserve">          6112 - COMPENSATION INSURANCE</v>
      </c>
      <c r="C57" s="11"/>
      <c r="D57" s="7">
        <v>465.54</v>
      </c>
      <c r="E57" s="2"/>
      <c r="F57" s="6">
        <f t="shared" si="20"/>
        <v>1.9864596113001111E-3</v>
      </c>
      <c r="G57" s="2"/>
      <c r="H57" s="7">
        <v>94.94</v>
      </c>
      <c r="I57" s="2"/>
      <c r="J57" s="6">
        <f t="shared" si="21"/>
        <v>3.9995674367132908E-4</v>
      </c>
      <c r="K57" s="2"/>
      <c r="L57" s="7">
        <f t="shared" si="22"/>
        <v>370.6</v>
      </c>
      <c r="M57" s="2"/>
      <c r="N57" s="6">
        <f t="shared" si="23"/>
        <v>3.9035180113756058</v>
      </c>
      <c r="O57" s="11"/>
      <c r="P57" s="7">
        <v>1319.1</v>
      </c>
      <c r="Q57" s="2"/>
      <c r="R57" s="6">
        <f t="shared" si="24"/>
        <v>1.0099207429268226E-3</v>
      </c>
      <c r="S57" s="2"/>
      <c r="T57" s="7">
        <v>433.29</v>
      </c>
      <c r="U57" s="2"/>
      <c r="V57" s="6">
        <f t="shared" si="25"/>
        <v>2.8665793388401369E-4</v>
      </c>
      <c r="W57" s="2"/>
      <c r="X57" s="7">
        <f t="shared" si="26"/>
        <v>885.81</v>
      </c>
      <c r="Y57" s="2"/>
      <c r="Z57" s="6">
        <f t="shared" si="27"/>
        <v>2.0443813612130444</v>
      </c>
    </row>
    <row r="58" spans="1:26" s="24" customFormat="1" hidden="1" outlineLevel="2" x14ac:dyDescent="0.25">
      <c r="A58" s="28"/>
      <c r="B58" s="11" t="str">
        <f>CONCATENATE("          ", "6113", " - ", "GROUP INSURANCE")</f>
        <v xml:space="preserve">          6113 - GROUP INSURANCE</v>
      </c>
      <c r="C58" s="11"/>
      <c r="D58" s="7">
        <v>4650.1099999999997</v>
      </c>
      <c r="E58" s="2"/>
      <c r="F58" s="6">
        <f t="shared" si="20"/>
        <v>1.984202367810018E-2</v>
      </c>
      <c r="G58" s="2"/>
      <c r="H58" s="7">
        <v>4248.21</v>
      </c>
      <c r="I58" s="2"/>
      <c r="J58" s="6">
        <f t="shared" si="21"/>
        <v>1.7896568759553162E-2</v>
      </c>
      <c r="K58" s="2"/>
      <c r="L58" s="7">
        <f t="shared" si="22"/>
        <v>401.89999999999964</v>
      </c>
      <c r="M58" s="2"/>
      <c r="N58" s="6">
        <f t="shared" si="23"/>
        <v>9.4604551093283903E-2</v>
      </c>
      <c r="O58" s="11"/>
      <c r="P58" s="7">
        <v>13837.83</v>
      </c>
      <c r="Q58" s="2"/>
      <c r="R58" s="6">
        <f t="shared" si="24"/>
        <v>1.0594429197251969E-2</v>
      </c>
      <c r="S58" s="2"/>
      <c r="T58" s="7">
        <v>12610.42</v>
      </c>
      <c r="U58" s="2"/>
      <c r="V58" s="6">
        <f t="shared" si="25"/>
        <v>8.342857999514515E-3</v>
      </c>
      <c r="W58" s="2"/>
      <c r="X58" s="7">
        <f t="shared" si="26"/>
        <v>1227.4099999999999</v>
      </c>
      <c r="Y58" s="2"/>
      <c r="Z58" s="6">
        <f t="shared" si="27"/>
        <v>9.7332999218106925E-2</v>
      </c>
    </row>
    <row r="59" spans="1:26" s="24" customFormat="1" hidden="1" outlineLevel="2" x14ac:dyDescent="0.25">
      <c r="A59" s="28"/>
      <c r="B59" s="11" t="str">
        <f>CONCATENATE("          ", "6114", " - ", "STATE UNEMPLOYMENT INSURANCE")</f>
        <v xml:space="preserve">          6114 - STATE UNEMPLOYMENT INSURANCE</v>
      </c>
      <c r="C59" s="11"/>
      <c r="D59" s="7">
        <v>92.82</v>
      </c>
      <c r="E59" s="2"/>
      <c r="F59" s="6">
        <f t="shared" si="20"/>
        <v>3.9606302599320422E-4</v>
      </c>
      <c r="G59" s="2"/>
      <c r="H59" s="7">
        <v>74.8</v>
      </c>
      <c r="I59" s="2"/>
      <c r="J59" s="6">
        <f t="shared" si="21"/>
        <v>3.151123280663094E-4</v>
      </c>
      <c r="K59" s="2"/>
      <c r="L59" s="7">
        <f t="shared" si="22"/>
        <v>18.019999999999996</v>
      </c>
      <c r="M59" s="2"/>
      <c r="N59" s="6">
        <f t="shared" si="23"/>
        <v>0.24090909090909088</v>
      </c>
      <c r="O59" s="11"/>
      <c r="P59" s="7">
        <v>261.45</v>
      </c>
      <c r="Q59" s="2"/>
      <c r="R59" s="6">
        <f t="shared" si="24"/>
        <v>2.0016964463514346E-4</v>
      </c>
      <c r="S59" s="2"/>
      <c r="T59" s="7">
        <v>208.22</v>
      </c>
      <c r="U59" s="2"/>
      <c r="V59" s="6">
        <f t="shared" si="25"/>
        <v>1.3775511780407887E-4</v>
      </c>
      <c r="W59" s="2"/>
      <c r="X59" s="7">
        <f t="shared" si="26"/>
        <v>53.22999999999999</v>
      </c>
      <c r="Y59" s="2"/>
      <c r="Z59" s="6">
        <f t="shared" si="27"/>
        <v>0.25564306982998747</v>
      </c>
    </row>
    <row r="60" spans="1:26" s="24" customFormat="1" hidden="1" outlineLevel="2" x14ac:dyDescent="0.25">
      <c r="A60" s="28"/>
      <c r="B60" s="11" t="str">
        <f>CONCATENATE("          ", "6115", " - ", "P.E.R.S.")</f>
        <v xml:space="preserve">          6115 - P.E.R.S.</v>
      </c>
      <c r="C60" s="11"/>
      <c r="D60" s="7">
        <v>1607.1</v>
      </c>
      <c r="E60" s="2"/>
      <c r="F60" s="6">
        <f t="shared" si="20"/>
        <v>6.8574971888997896E-3</v>
      </c>
      <c r="G60" s="2"/>
      <c r="H60" s="7">
        <v>1480.2</v>
      </c>
      <c r="I60" s="2"/>
      <c r="J60" s="6">
        <f t="shared" si="21"/>
        <v>6.2356854011196691E-3</v>
      </c>
      <c r="K60" s="2"/>
      <c r="L60" s="7">
        <f t="shared" si="22"/>
        <v>126.89999999999986</v>
      </c>
      <c r="M60" s="2"/>
      <c r="N60" s="6">
        <f t="shared" si="23"/>
        <v>8.5731657884069626E-2</v>
      </c>
      <c r="O60" s="11"/>
      <c r="P60" s="7">
        <v>4821.3</v>
      </c>
      <c r="Q60" s="2"/>
      <c r="R60" s="6">
        <f t="shared" si="24"/>
        <v>3.6912522764559847E-3</v>
      </c>
      <c r="S60" s="2"/>
      <c r="T60" s="7">
        <v>5180.72</v>
      </c>
      <c r="U60" s="2"/>
      <c r="V60" s="6">
        <f t="shared" si="25"/>
        <v>3.4274838819995557E-3</v>
      </c>
      <c r="W60" s="2"/>
      <c r="X60" s="7">
        <f t="shared" si="26"/>
        <v>-359.42000000000007</v>
      </c>
      <c r="Y60" s="2"/>
      <c r="Z60" s="6">
        <f t="shared" si="27"/>
        <v>-6.9376457326394803E-2</v>
      </c>
    </row>
    <row r="61" spans="1:26" s="24" customFormat="1" hidden="1" outlineLevel="2" x14ac:dyDescent="0.25">
      <c r="A61" s="28"/>
      <c r="B61" s="11" t="str">
        <f>CONCATENATE("          ", "6117", " - ", "RETIREMENT STAFF HOURLY")</f>
        <v xml:space="preserve">          6117 - RETIREMENT STAFF HOURLY</v>
      </c>
      <c r="C61" s="11"/>
      <c r="D61" s="7">
        <v>190.96</v>
      </c>
      <c r="E61" s="2"/>
      <c r="F61" s="6">
        <f t="shared" si="20"/>
        <v>8.148264969151291E-4</v>
      </c>
      <c r="G61" s="2"/>
      <c r="H61" s="7">
        <v>248.98</v>
      </c>
      <c r="I61" s="2"/>
      <c r="J61" s="6">
        <f t="shared" si="21"/>
        <v>1.0488859283683117E-3</v>
      </c>
      <c r="K61" s="2"/>
      <c r="L61" s="7">
        <f t="shared" si="22"/>
        <v>-58.019999999999982</v>
      </c>
      <c r="M61" s="2"/>
      <c r="N61" s="6">
        <f t="shared" si="23"/>
        <v>-0.23303076552333515</v>
      </c>
      <c r="O61" s="11"/>
      <c r="P61" s="7">
        <v>976.89</v>
      </c>
      <c r="Q61" s="2"/>
      <c r="R61" s="6">
        <f t="shared" si="24"/>
        <v>7.4792015355756478E-4</v>
      </c>
      <c r="S61" s="2"/>
      <c r="T61" s="7">
        <v>837.77</v>
      </c>
      <c r="U61" s="2"/>
      <c r="V61" s="6">
        <f t="shared" si="25"/>
        <v>5.5425561926194958E-4</v>
      </c>
      <c r="W61" s="2"/>
      <c r="X61" s="7">
        <f t="shared" si="26"/>
        <v>139.12</v>
      </c>
      <c r="Y61" s="2"/>
      <c r="Z61" s="6">
        <f t="shared" si="27"/>
        <v>0.16605989710779809</v>
      </c>
    </row>
    <row r="62" spans="1:26" s="24" customFormat="1" hidden="1" outlineLevel="2" x14ac:dyDescent="0.25">
      <c r="A62" s="28"/>
      <c r="B62" s="11" t="str">
        <f>CONCATENATE("          ", "6118", " - ", "VACATION")</f>
        <v xml:space="preserve">          6118 - VACATION</v>
      </c>
      <c r="C62" s="11"/>
      <c r="D62" s="7">
        <v>1143.8800000000001</v>
      </c>
      <c r="E62" s="2"/>
      <c r="F62" s="6">
        <f t="shared" si="20"/>
        <v>4.8809370197490463E-3</v>
      </c>
      <c r="G62" s="2"/>
      <c r="H62" s="7">
        <v>1121.07</v>
      </c>
      <c r="I62" s="2"/>
      <c r="J62" s="6">
        <f t="shared" si="21"/>
        <v>4.7227670805521059E-3</v>
      </c>
      <c r="K62" s="2"/>
      <c r="L62" s="7">
        <f t="shared" si="22"/>
        <v>22.810000000000173</v>
      </c>
      <c r="M62" s="2"/>
      <c r="N62" s="6">
        <f t="shared" si="23"/>
        <v>2.0346633127280342E-2</v>
      </c>
      <c r="O62" s="11"/>
      <c r="P62" s="7">
        <v>3808.77</v>
      </c>
      <c r="Q62" s="2"/>
      <c r="R62" s="6">
        <f t="shared" si="24"/>
        <v>2.9160456584318051E-3</v>
      </c>
      <c r="S62" s="2"/>
      <c r="T62" s="7">
        <v>3031.38</v>
      </c>
      <c r="U62" s="2"/>
      <c r="V62" s="6">
        <f t="shared" si="25"/>
        <v>2.0055139228168698E-3</v>
      </c>
      <c r="W62" s="2"/>
      <c r="X62" s="7">
        <f t="shared" si="26"/>
        <v>777.38999999999987</v>
      </c>
      <c r="Y62" s="2"/>
      <c r="Z62" s="6">
        <f t="shared" si="27"/>
        <v>0.25644755853769563</v>
      </c>
    </row>
    <row r="63" spans="1:26" s="24" customFormat="1" hidden="1" outlineLevel="2" x14ac:dyDescent="0.25">
      <c r="A63" s="28"/>
      <c r="B63" s="11" t="str">
        <f>CONCATENATE("          ", "6119", " - ", "SICK LEAVE")</f>
        <v xml:space="preserve">          6119 - SICK LEAVE</v>
      </c>
      <c r="C63" s="11"/>
      <c r="D63" s="7">
        <v>1071.9000000000001</v>
      </c>
      <c r="E63" s="2"/>
      <c r="F63" s="6">
        <f t="shared" si="20"/>
        <v>4.5737982930630864E-3</v>
      </c>
      <c r="G63" s="2"/>
      <c r="H63" s="7">
        <v>944.6</v>
      </c>
      <c r="I63" s="2"/>
      <c r="J63" s="6">
        <f t="shared" si="21"/>
        <v>3.9793463247518165E-3</v>
      </c>
      <c r="K63" s="2"/>
      <c r="L63" s="7">
        <f t="shared" si="22"/>
        <v>127.30000000000007</v>
      </c>
      <c r="M63" s="2"/>
      <c r="N63" s="6">
        <f t="shared" si="23"/>
        <v>0.13476603853482963</v>
      </c>
      <c r="O63" s="11"/>
      <c r="P63" s="7">
        <v>3215.7</v>
      </c>
      <c r="Q63" s="2"/>
      <c r="R63" s="6">
        <f t="shared" si="24"/>
        <v>2.4619832711923152E-3</v>
      </c>
      <c r="S63" s="2"/>
      <c r="T63" s="7">
        <v>2833.8</v>
      </c>
      <c r="U63" s="2"/>
      <c r="V63" s="6">
        <f t="shared" si="25"/>
        <v>1.8747980637460317E-3</v>
      </c>
      <c r="W63" s="2"/>
      <c r="X63" s="7">
        <f t="shared" si="26"/>
        <v>381.89999999999964</v>
      </c>
      <c r="Y63" s="2"/>
      <c r="Z63" s="6">
        <f t="shared" si="27"/>
        <v>0.13476603853482941</v>
      </c>
    </row>
    <row r="64" spans="1:26" s="24" customFormat="1" hidden="1" outlineLevel="2" x14ac:dyDescent="0.25">
      <c r="A64" s="28"/>
      <c r="B64" s="11" t="str">
        <f>CONCATENATE("          ", "6156", " - ", "EMPLOYEE MEALS")</f>
        <v xml:space="preserve">          6156 - EMPLOYEE MEALS</v>
      </c>
      <c r="C64" s="11"/>
      <c r="D64" s="7">
        <v>750.7</v>
      </c>
      <c r="E64" s="2"/>
      <c r="F64" s="6">
        <f t="shared" si="20"/>
        <v>3.2032375954869469E-3</v>
      </c>
      <c r="G64" s="2"/>
      <c r="H64" s="7">
        <v>558.25</v>
      </c>
      <c r="I64" s="2"/>
      <c r="J64" s="6">
        <f t="shared" si="21"/>
        <v>2.3517574484360594E-3</v>
      </c>
      <c r="K64" s="2"/>
      <c r="L64" s="7">
        <f t="shared" si="22"/>
        <v>192.45000000000005</v>
      </c>
      <c r="M64" s="2"/>
      <c r="N64" s="6">
        <f t="shared" si="23"/>
        <v>0.34473802060008962</v>
      </c>
      <c r="O64" s="11"/>
      <c r="P64" s="7">
        <v>1569.9</v>
      </c>
      <c r="Q64" s="2"/>
      <c r="R64" s="6">
        <f t="shared" si="24"/>
        <v>1.201936603988188E-3</v>
      </c>
      <c r="S64" s="2"/>
      <c r="T64" s="7">
        <v>1355.61</v>
      </c>
      <c r="U64" s="2"/>
      <c r="V64" s="6">
        <f t="shared" si="25"/>
        <v>8.9685051986546603E-4</v>
      </c>
      <c r="W64" s="2"/>
      <c r="X64" s="7">
        <f t="shared" si="26"/>
        <v>214.29000000000019</v>
      </c>
      <c r="Y64" s="2"/>
      <c r="Z64" s="6">
        <f t="shared" si="27"/>
        <v>0.15807643791355935</v>
      </c>
    </row>
    <row r="65" spans="1:26" s="27" customFormat="1" outlineLevel="1" collapsed="1" x14ac:dyDescent="0.25">
      <c r="A65" s="29"/>
      <c r="B65" s="14" t="str">
        <f>CONCATENATE("     ","*Payroll                                          ")</f>
        <v xml:space="preserve">     *Payroll                                          </v>
      </c>
      <c r="C65" s="14"/>
      <c r="D65" s="1">
        <f>SUM(OSRRefD22_1x_0)</f>
        <v>29190.14</v>
      </c>
      <c r="E65" s="1"/>
      <c r="F65" s="5">
        <f t="shared" ref="F65:F72" si="28">IF(D$12=0,0,D65/D$12)</f>
        <v>0.12455435442324143</v>
      </c>
      <c r="G65" s="1"/>
      <c r="H65" s="1">
        <f>SUM(OSRRefH22_1x_0)</f>
        <v>25117.03</v>
      </c>
      <c r="I65" s="1"/>
      <c r="J65" s="5">
        <f t="shared" ref="J65:J72" si="29">IF(H$12=0,0,H65/H$12)</f>
        <v>0.1058113074520232</v>
      </c>
      <c r="K65" s="1"/>
      <c r="L65" s="1">
        <f t="shared" ref="L65:L72" si="30">+D65-H65</f>
        <v>4073.1100000000006</v>
      </c>
      <c r="M65" s="1"/>
      <c r="N65" s="5">
        <f t="shared" ref="N65:N72" si="31">IF(H65=0,0,L65/H65)</f>
        <v>0.16216527192904578</v>
      </c>
      <c r="O65" s="14"/>
      <c r="P65" s="1">
        <f>SUM(OSRRefP22_1x_0)</f>
        <v>99371.32</v>
      </c>
      <c r="Q65" s="1"/>
      <c r="R65" s="5">
        <f t="shared" ref="R65:R72" si="32">IF(P$12=0,0,P65/P$12)</f>
        <v>7.60800222272906E-2</v>
      </c>
      <c r="S65" s="1"/>
      <c r="T65" s="1">
        <f>SUM(OSRRefT22_1x_0)</f>
        <v>89674.319999999992</v>
      </c>
      <c r="U65" s="1"/>
      <c r="V65" s="5">
        <f t="shared" ref="V65:V72" si="33">IF(T$12=0,0,T65/T$12)</f>
        <v>5.9327137237540413E-2</v>
      </c>
      <c r="W65" s="1"/>
      <c r="X65" s="1">
        <f t="shared" ref="X65:X72" si="34">+P65-T65</f>
        <v>9697.0000000000146</v>
      </c>
      <c r="Y65" s="1"/>
      <c r="Z65" s="5">
        <f t="shared" ref="Z65:Z72" si="35">IF(T65=0,0,X65/T65)</f>
        <v>0.1081357516845404</v>
      </c>
    </row>
    <row r="66" spans="1:26" s="24" customFormat="1" hidden="1" outlineLevel="2" x14ac:dyDescent="0.25">
      <c r="A66" s="28"/>
      <c r="B66" s="11" t="str">
        <f>CONCATENATE("          ", "6001", " - ", "ADMINISTRATIVE SALARIES")</f>
        <v xml:space="preserve">          6001 - ADMINISTRATIVE SALARIES</v>
      </c>
      <c r="C66" s="11"/>
      <c r="D66" s="7"/>
      <c r="E66" s="2"/>
      <c r="F66" s="6">
        <f t="shared" si="28"/>
        <v>0</v>
      </c>
      <c r="G66" s="2"/>
      <c r="H66" s="7"/>
      <c r="I66" s="2"/>
      <c r="J66" s="6">
        <f t="shared" si="29"/>
        <v>0</v>
      </c>
      <c r="K66" s="2"/>
      <c r="L66" s="7">
        <f t="shared" si="30"/>
        <v>0</v>
      </c>
      <c r="M66" s="2"/>
      <c r="N66" s="6">
        <f t="shared" si="31"/>
        <v>0</v>
      </c>
      <c r="O66" s="11"/>
      <c r="P66" s="7"/>
      <c r="Q66" s="2"/>
      <c r="R66" s="6">
        <f t="shared" si="32"/>
        <v>0</v>
      </c>
      <c r="S66" s="2"/>
      <c r="T66" s="7">
        <v>-311.32</v>
      </c>
      <c r="U66" s="2"/>
      <c r="V66" s="6">
        <f t="shared" si="33"/>
        <v>-2.0596447639403435E-4</v>
      </c>
      <c r="W66" s="2"/>
      <c r="X66" s="7">
        <f t="shared" si="34"/>
        <v>311.32</v>
      </c>
      <c r="Y66" s="2"/>
      <c r="Z66" s="6">
        <f t="shared" si="35"/>
        <v>-1</v>
      </c>
    </row>
    <row r="67" spans="1:26" s="24" customFormat="1" hidden="1" outlineLevel="2" x14ac:dyDescent="0.25">
      <c r="A67" s="28"/>
      <c r="B67" s="11" t="str">
        <f>CONCATENATE("          ", "6002", " - ", "STAFF SALARIES")</f>
        <v xml:space="preserve">          6002 - STAFF SALARIES</v>
      </c>
      <c r="C67" s="11"/>
      <c r="D67" s="7">
        <v>16350.77</v>
      </c>
      <c r="E67" s="2"/>
      <c r="F67" s="6">
        <f t="shared" si="28"/>
        <v>6.9768750738191165E-2</v>
      </c>
      <c r="G67" s="2"/>
      <c r="H67" s="7">
        <v>14307.52</v>
      </c>
      <c r="I67" s="2"/>
      <c r="J67" s="6">
        <f t="shared" si="29"/>
        <v>6.0273742460632135E-2</v>
      </c>
      <c r="K67" s="2"/>
      <c r="L67" s="7">
        <f t="shared" si="30"/>
        <v>2043.25</v>
      </c>
      <c r="M67" s="2"/>
      <c r="N67" s="6">
        <f t="shared" si="31"/>
        <v>0.14280951555545615</v>
      </c>
      <c r="O67" s="11"/>
      <c r="P67" s="7">
        <v>53100.78</v>
      </c>
      <c r="Q67" s="2"/>
      <c r="R67" s="6">
        <f t="shared" si="32"/>
        <v>4.065467302523975E-2</v>
      </c>
      <c r="S67" s="2"/>
      <c r="T67" s="7">
        <v>47442.92</v>
      </c>
      <c r="U67" s="2"/>
      <c r="V67" s="6">
        <f t="shared" si="33"/>
        <v>3.1387498960568097E-2</v>
      </c>
      <c r="W67" s="2"/>
      <c r="X67" s="7">
        <f t="shared" si="34"/>
        <v>5657.8600000000006</v>
      </c>
      <c r="Y67" s="2"/>
      <c r="Z67" s="6">
        <f t="shared" si="35"/>
        <v>0.11925615033813267</v>
      </c>
    </row>
    <row r="68" spans="1:26" s="24" customFormat="1" hidden="1" outlineLevel="2" x14ac:dyDescent="0.25">
      <c r="A68" s="28"/>
      <c r="B68" s="11" t="str">
        <f>CONCATENATE("          ", "6004", " - ", "STAFF HOURLY")</f>
        <v xml:space="preserve">          6004 - STAFF HOURLY</v>
      </c>
      <c r="C68" s="11"/>
      <c r="D68" s="7">
        <v>4924.04</v>
      </c>
      <c r="E68" s="2"/>
      <c r="F68" s="6">
        <f t="shared" si="28"/>
        <v>2.101088324188297E-2</v>
      </c>
      <c r="G68" s="2"/>
      <c r="H68" s="7">
        <v>6404.63</v>
      </c>
      <c r="I68" s="2"/>
      <c r="J68" s="6">
        <f t="shared" si="29"/>
        <v>2.6980987562878707E-2</v>
      </c>
      <c r="K68" s="2"/>
      <c r="L68" s="7">
        <f t="shared" si="30"/>
        <v>-1480.5900000000001</v>
      </c>
      <c r="M68" s="2"/>
      <c r="N68" s="6">
        <f t="shared" si="31"/>
        <v>-0.2311749468743706</v>
      </c>
      <c r="O68" s="11"/>
      <c r="P68" s="7">
        <v>17748.91</v>
      </c>
      <c r="Q68" s="2"/>
      <c r="R68" s="6">
        <f t="shared" si="32"/>
        <v>1.3588804770935721E-2</v>
      </c>
      <c r="S68" s="2"/>
      <c r="T68" s="7">
        <v>18577.73</v>
      </c>
      <c r="U68" s="2"/>
      <c r="V68" s="6">
        <f t="shared" si="33"/>
        <v>1.2290737607733984E-2</v>
      </c>
      <c r="W68" s="2"/>
      <c r="X68" s="7">
        <f t="shared" si="34"/>
        <v>-828.81999999999971</v>
      </c>
      <c r="Y68" s="2"/>
      <c r="Z68" s="6">
        <f t="shared" si="35"/>
        <v>-4.4613631482425448E-2</v>
      </c>
    </row>
    <row r="69" spans="1:26" s="24" customFormat="1" hidden="1" outlineLevel="2" x14ac:dyDescent="0.25">
      <c r="A69" s="28"/>
      <c r="B69" s="11" t="str">
        <f>CONCATENATE("          ", "6005", " - ", "TEMPORARY WAGES-HOURLY")</f>
        <v xml:space="preserve">          6005 - TEMPORARY WAGES-HOURLY</v>
      </c>
      <c r="C69" s="11"/>
      <c r="D69" s="7">
        <v>1055.96</v>
      </c>
      <c r="E69" s="2"/>
      <c r="F69" s="6">
        <f t="shared" si="28"/>
        <v>4.5057822982954533E-3</v>
      </c>
      <c r="G69" s="2"/>
      <c r="H69" s="7">
        <v>5645.28</v>
      </c>
      <c r="I69" s="2"/>
      <c r="J69" s="6">
        <f t="shared" si="29"/>
        <v>2.3782049777890044E-2</v>
      </c>
      <c r="K69" s="2"/>
      <c r="L69" s="7">
        <f t="shared" si="30"/>
        <v>-4589.32</v>
      </c>
      <c r="M69" s="2"/>
      <c r="N69" s="6">
        <f t="shared" si="31"/>
        <v>-0.8129481620043647</v>
      </c>
      <c r="O69" s="11"/>
      <c r="P69" s="7">
        <v>8137.23</v>
      </c>
      <c r="Q69" s="2"/>
      <c r="R69" s="6">
        <f t="shared" si="32"/>
        <v>6.2299729868595466E-3</v>
      </c>
      <c r="S69" s="2"/>
      <c r="T69" s="7">
        <v>11339.33</v>
      </c>
      <c r="U69" s="2"/>
      <c r="V69" s="6">
        <f t="shared" si="33"/>
        <v>7.5019245988345289E-3</v>
      </c>
      <c r="W69" s="2"/>
      <c r="X69" s="7">
        <f t="shared" si="34"/>
        <v>-3202.1000000000004</v>
      </c>
      <c r="Y69" s="2"/>
      <c r="Z69" s="6">
        <f t="shared" si="35"/>
        <v>-0.28238881838697705</v>
      </c>
    </row>
    <row r="70" spans="1:26" s="24" customFormat="1" hidden="1" outlineLevel="2" x14ac:dyDescent="0.25">
      <c r="A70" s="28"/>
      <c r="B70" s="11" t="str">
        <f>CONCATENATE("          ", "6006", " - ", "TEMPORARY PART TIME")</f>
        <v xml:space="preserve">          6006 - TEMPORARY PART TIME</v>
      </c>
      <c r="C70" s="11"/>
      <c r="D70" s="7"/>
      <c r="E70" s="2"/>
      <c r="F70" s="6">
        <f t="shared" si="28"/>
        <v>0</v>
      </c>
      <c r="G70" s="2"/>
      <c r="H70" s="7"/>
      <c r="I70" s="2"/>
      <c r="J70" s="6">
        <f t="shared" si="29"/>
        <v>0</v>
      </c>
      <c r="K70" s="2"/>
      <c r="L70" s="7">
        <f t="shared" si="30"/>
        <v>0</v>
      </c>
      <c r="M70" s="2"/>
      <c r="N70" s="6">
        <f t="shared" si="31"/>
        <v>0</v>
      </c>
      <c r="O70" s="11"/>
      <c r="P70" s="7"/>
      <c r="Q70" s="2"/>
      <c r="R70" s="6">
        <f t="shared" si="32"/>
        <v>0</v>
      </c>
      <c r="S70" s="2"/>
      <c r="T70" s="7">
        <v>502.29</v>
      </c>
      <c r="U70" s="2"/>
      <c r="V70" s="6">
        <f t="shared" si="33"/>
        <v>3.3230726213529335E-4</v>
      </c>
      <c r="W70" s="2"/>
      <c r="X70" s="7">
        <f t="shared" si="34"/>
        <v>-502.29</v>
      </c>
      <c r="Y70" s="2"/>
      <c r="Z70" s="6">
        <f t="shared" si="35"/>
        <v>-1</v>
      </c>
    </row>
    <row r="71" spans="1:26" s="24" customFormat="1" hidden="1" outlineLevel="2" x14ac:dyDescent="0.25">
      <c r="A71" s="28"/>
      <c r="B71" s="11" t="str">
        <f>CONCATENATE("          ", "6007", " - ", "STUDENT HOURLY")</f>
        <v xml:space="preserve">          6007 - STUDENT HOURLY</v>
      </c>
      <c r="C71" s="11"/>
      <c r="D71" s="7">
        <v>4598.51</v>
      </c>
      <c r="E71" s="2"/>
      <c r="F71" s="6">
        <f t="shared" si="28"/>
        <v>1.9621846430295298E-2</v>
      </c>
      <c r="G71" s="2"/>
      <c r="H71" s="7">
        <v>-1240.4000000000001</v>
      </c>
      <c r="I71" s="2"/>
      <c r="J71" s="6">
        <f t="shared" si="29"/>
        <v>-5.2254723493776771E-3</v>
      </c>
      <c r="K71" s="2"/>
      <c r="L71" s="7">
        <f t="shared" si="30"/>
        <v>5838.91</v>
      </c>
      <c r="M71" s="2"/>
      <c r="N71" s="6">
        <f t="shared" si="31"/>
        <v>-4.7072799097065454</v>
      </c>
      <c r="O71" s="11"/>
      <c r="P71" s="7">
        <v>16584.52</v>
      </c>
      <c r="Q71" s="2"/>
      <c r="R71" s="6">
        <f t="shared" si="32"/>
        <v>1.2697332089670796E-2</v>
      </c>
      <c r="S71" s="2"/>
      <c r="T71" s="7">
        <v>12123.37</v>
      </c>
      <c r="U71" s="2"/>
      <c r="V71" s="6">
        <f t="shared" si="33"/>
        <v>8.020633284662548E-3</v>
      </c>
      <c r="W71" s="2"/>
      <c r="X71" s="7">
        <f t="shared" si="34"/>
        <v>4461.1499999999996</v>
      </c>
      <c r="Y71" s="2"/>
      <c r="Z71" s="6">
        <f t="shared" si="35"/>
        <v>0.36797936547346155</v>
      </c>
    </row>
    <row r="72" spans="1:26" s="24" customFormat="1" hidden="1" outlineLevel="2" x14ac:dyDescent="0.25">
      <c r="A72" s="28"/>
      <c r="B72" s="11" t="str">
        <f>CONCATENATE("          ", "6008", " - ", "STUDENT HOURLY-FICA EXEMPT")</f>
        <v xml:space="preserve">          6008 - STUDENT HOURLY-FICA EXEMPT</v>
      </c>
      <c r="C72" s="11"/>
      <c r="D72" s="7">
        <v>2260.86</v>
      </c>
      <c r="E72" s="2"/>
      <c r="F72" s="6">
        <f t="shared" si="28"/>
        <v>9.6470917145765542E-3</v>
      </c>
      <c r="G72" s="2"/>
      <c r="H72" s="7"/>
      <c r="I72" s="2"/>
      <c r="J72" s="6">
        <f t="shared" si="29"/>
        <v>0</v>
      </c>
      <c r="K72" s="2"/>
      <c r="L72" s="7">
        <f t="shared" si="30"/>
        <v>2260.86</v>
      </c>
      <c r="M72" s="2"/>
      <c r="N72" s="6">
        <f t="shared" si="31"/>
        <v>0</v>
      </c>
      <c r="O72" s="11"/>
      <c r="P72" s="7">
        <v>3799.88</v>
      </c>
      <c r="Q72" s="2"/>
      <c r="R72" s="6">
        <f t="shared" si="32"/>
        <v>2.9092393545847735E-3</v>
      </c>
      <c r="S72" s="2"/>
      <c r="T72" s="7"/>
      <c r="U72" s="2"/>
      <c r="V72" s="6">
        <f t="shared" si="33"/>
        <v>0</v>
      </c>
      <c r="W72" s="2"/>
      <c r="X72" s="7">
        <f t="shared" si="34"/>
        <v>3799.88</v>
      </c>
      <c r="Y72" s="2"/>
      <c r="Z72" s="6">
        <f t="shared" si="35"/>
        <v>0</v>
      </c>
    </row>
    <row r="73" spans="1:26" s="27" customFormat="1" outlineLevel="1" collapsed="1" x14ac:dyDescent="0.25">
      <c r="A73" s="29"/>
      <c r="B73" s="14" t="str">
        <f>CONCATENATE("     ","Advertising/Promo                                 ")</f>
        <v xml:space="preserve">     Advertising/Promo                                 </v>
      </c>
      <c r="C73" s="14"/>
      <c r="D73" s="1">
        <f>SUM(OSRRefD22_2x_0)</f>
        <v>35.28</v>
      </c>
      <c r="E73" s="1"/>
      <c r="F73" s="5">
        <f t="shared" ref="F73:F90" si="36">IF(D$12=0,0,D73/D$12)</f>
        <v>1.505397926851998E-4</v>
      </c>
      <c r="G73" s="1"/>
      <c r="H73" s="1">
        <f>SUM(OSRRefH22_2x_0)</f>
        <v>0</v>
      </c>
      <c r="I73" s="1"/>
      <c r="J73" s="5">
        <f t="shared" ref="J73:J90" si="37">IF(H$12=0,0,H73/H$12)</f>
        <v>0</v>
      </c>
      <c r="K73" s="1"/>
      <c r="L73" s="1">
        <f t="shared" ref="L73:L90" si="38">+D73-H73</f>
        <v>35.28</v>
      </c>
      <c r="M73" s="1"/>
      <c r="N73" s="5">
        <f t="shared" ref="N73:N90" si="39">IF(H73=0,0,L73/H73)</f>
        <v>0</v>
      </c>
      <c r="O73" s="14"/>
      <c r="P73" s="1">
        <f>SUM(OSRRefP22_2x_0)</f>
        <v>119.42</v>
      </c>
      <c r="Q73" s="1"/>
      <c r="R73" s="5">
        <f t="shared" ref="R73:R90" si="40">IF(P$12=0,0,P73/P$12)</f>
        <v>9.1429561913669276E-5</v>
      </c>
      <c r="S73" s="1"/>
      <c r="T73" s="1">
        <f>SUM(OSRRefT22_2x_0)</f>
        <v>1359.88</v>
      </c>
      <c r="U73" s="1"/>
      <c r="V73" s="5">
        <f t="shared" ref="V73:V90" si="41">IF(T$12=0,0,T73/T$12)</f>
        <v>8.9967548554130623E-4</v>
      </c>
      <c r="W73" s="1"/>
      <c r="X73" s="1">
        <f t="shared" ref="X73:X90" si="42">+P73-T73</f>
        <v>-1240.46</v>
      </c>
      <c r="Y73" s="1"/>
      <c r="Z73" s="5">
        <f t="shared" ref="Z73:Z90" si="43">IF(T73=0,0,X73/T73)</f>
        <v>-0.91218342794952489</v>
      </c>
    </row>
    <row r="74" spans="1:26" s="24" customFormat="1" hidden="1" outlineLevel="2" x14ac:dyDescent="0.25">
      <c r="A74" s="28"/>
      <c r="B74" s="11" t="str">
        <f>CONCATENATE("          ", "6362", " - ", "ADVERTISING EXPENSE")</f>
        <v xml:space="preserve">          6362 - ADVERTISING EXPENSE</v>
      </c>
      <c r="C74" s="11"/>
      <c r="D74" s="7">
        <v>35.28</v>
      </c>
      <c r="E74" s="2"/>
      <c r="F74" s="6">
        <f t="shared" si="36"/>
        <v>1.505397926851998E-4</v>
      </c>
      <c r="G74" s="2"/>
      <c r="H74" s="7"/>
      <c r="I74" s="2"/>
      <c r="J74" s="6">
        <f t="shared" si="37"/>
        <v>0</v>
      </c>
      <c r="K74" s="2"/>
      <c r="L74" s="7">
        <f t="shared" si="38"/>
        <v>35.28</v>
      </c>
      <c r="M74" s="2"/>
      <c r="N74" s="6">
        <f t="shared" si="39"/>
        <v>0</v>
      </c>
      <c r="O74" s="11"/>
      <c r="P74" s="7">
        <v>119.42</v>
      </c>
      <c r="Q74" s="2"/>
      <c r="R74" s="6">
        <f t="shared" si="40"/>
        <v>9.1429561913669276E-5</v>
      </c>
      <c r="S74" s="2"/>
      <c r="T74" s="7">
        <v>1359.88</v>
      </c>
      <c r="U74" s="2"/>
      <c r="V74" s="6">
        <f t="shared" si="41"/>
        <v>8.9967548554130623E-4</v>
      </c>
      <c r="W74" s="2"/>
      <c r="X74" s="7">
        <f t="shared" si="42"/>
        <v>-1240.46</v>
      </c>
      <c r="Y74" s="2"/>
      <c r="Z74" s="6">
        <f t="shared" si="43"/>
        <v>-0.91218342794952489</v>
      </c>
    </row>
    <row r="75" spans="1:26" s="27" customFormat="1" outlineLevel="1" collapsed="1" x14ac:dyDescent="0.25">
      <c r="A75" s="29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SUM(OSRRefD22_3x_0)</f>
        <v>0</v>
      </c>
      <c r="E75" s="1"/>
      <c r="F75" s="5">
        <f t="shared" si="36"/>
        <v>0</v>
      </c>
      <c r="G75" s="1"/>
      <c r="H75" s="1">
        <f>SUM(OSRRefH22_3x_0)</f>
        <v>0</v>
      </c>
      <c r="I75" s="1"/>
      <c r="J75" s="5">
        <f t="shared" si="37"/>
        <v>0</v>
      </c>
      <c r="K75" s="1"/>
      <c r="L75" s="1">
        <f t="shared" si="38"/>
        <v>0</v>
      </c>
      <c r="M75" s="1"/>
      <c r="N75" s="5">
        <f t="shared" si="39"/>
        <v>0</v>
      </c>
      <c r="O75" s="14"/>
      <c r="P75" s="1">
        <f>SUM(OSRRefP22_3x_0)</f>
        <v>0</v>
      </c>
      <c r="Q75" s="1"/>
      <c r="R75" s="5">
        <f t="shared" si="40"/>
        <v>0</v>
      </c>
      <c r="S75" s="1"/>
      <c r="T75" s="1">
        <f>SUM(OSRRefT22_3x_0)</f>
        <v>0</v>
      </c>
      <c r="U75" s="1"/>
      <c r="V75" s="5">
        <f t="shared" si="41"/>
        <v>0</v>
      </c>
      <c r="W75" s="1"/>
      <c r="X75" s="1">
        <f t="shared" si="42"/>
        <v>0</v>
      </c>
      <c r="Y75" s="1"/>
      <c r="Z75" s="5">
        <f t="shared" si="43"/>
        <v>0</v>
      </c>
    </row>
    <row r="76" spans="1:26" s="24" customFormat="1" hidden="1" outlineLevel="2" x14ac:dyDescent="0.25">
      <c r="A76" s="28"/>
      <c r="B76" s="11" t="str">
        <f>CONCATENATE("          ", "6382", " - ", "DISCOUNTS/MARK DOWNS")</f>
        <v xml:space="preserve">          6382 - DISCOUNTS/MARK DOWNS</v>
      </c>
      <c r="C76" s="11"/>
      <c r="D76" s="7"/>
      <c r="E76" s="2"/>
      <c r="F76" s="6">
        <f t="shared" si="36"/>
        <v>0</v>
      </c>
      <c r="G76" s="2"/>
      <c r="H76" s="7">
        <v>0</v>
      </c>
      <c r="I76" s="2"/>
      <c r="J76" s="6">
        <f t="shared" si="37"/>
        <v>0</v>
      </c>
      <c r="K76" s="2"/>
      <c r="L76" s="7">
        <f t="shared" si="38"/>
        <v>0</v>
      </c>
      <c r="M76" s="2"/>
      <c r="N76" s="6">
        <f t="shared" si="39"/>
        <v>0</v>
      </c>
      <c r="O76" s="11"/>
      <c r="P76" s="7"/>
      <c r="Q76" s="2"/>
      <c r="R76" s="6">
        <f t="shared" si="40"/>
        <v>0</v>
      </c>
      <c r="S76" s="2"/>
      <c r="T76" s="7">
        <v>0</v>
      </c>
      <c r="U76" s="2"/>
      <c r="V76" s="6">
        <f t="shared" si="41"/>
        <v>0</v>
      </c>
      <c r="W76" s="2"/>
      <c r="X76" s="7">
        <f t="shared" si="42"/>
        <v>0</v>
      </c>
      <c r="Y76" s="2"/>
      <c r="Z76" s="6">
        <f t="shared" si="43"/>
        <v>0</v>
      </c>
    </row>
    <row r="77" spans="1:26" s="27" customFormat="1" outlineLevel="1" collapsed="1" x14ac:dyDescent="0.25">
      <c r="A77" s="29"/>
      <c r="B77" s="14" t="str">
        <f>CONCATENATE("     ","Employees' Appreciation                           ")</f>
        <v xml:space="preserve">     Employees' Appreciation                           </v>
      </c>
      <c r="C77" s="14"/>
      <c r="D77" s="1">
        <f>SUM(OSRRefD22_4x_0)</f>
        <v>0</v>
      </c>
      <c r="E77" s="1"/>
      <c r="F77" s="5">
        <f t="shared" si="36"/>
        <v>0</v>
      </c>
      <c r="G77" s="1"/>
      <c r="H77" s="1">
        <f>SUM(OSRRefH22_4x_0)</f>
        <v>0</v>
      </c>
      <c r="I77" s="1"/>
      <c r="J77" s="5">
        <f t="shared" si="37"/>
        <v>0</v>
      </c>
      <c r="K77" s="1"/>
      <c r="L77" s="1">
        <f t="shared" si="38"/>
        <v>0</v>
      </c>
      <c r="M77" s="1"/>
      <c r="N77" s="5">
        <f t="shared" si="39"/>
        <v>0</v>
      </c>
      <c r="O77" s="14"/>
      <c r="P77" s="1">
        <f>SUM(OSRRefP22_4x_0)</f>
        <v>0</v>
      </c>
      <c r="Q77" s="1"/>
      <c r="R77" s="5">
        <f t="shared" si="40"/>
        <v>0</v>
      </c>
      <c r="S77" s="1"/>
      <c r="T77" s="1">
        <f>SUM(OSRRefT22_4x_0)</f>
        <v>107.7</v>
      </c>
      <c r="U77" s="1"/>
      <c r="V77" s="5">
        <f t="shared" si="41"/>
        <v>7.1252647140040789E-5</v>
      </c>
      <c r="W77" s="1"/>
      <c r="X77" s="1">
        <f t="shared" si="42"/>
        <v>-107.7</v>
      </c>
      <c r="Y77" s="1"/>
      <c r="Z77" s="5">
        <f t="shared" si="43"/>
        <v>-1</v>
      </c>
    </row>
    <row r="78" spans="1:26" s="24" customFormat="1" hidden="1" outlineLevel="2" x14ac:dyDescent="0.25">
      <c r="A78" s="28"/>
      <c r="B78" s="11" t="str">
        <f>CONCATENATE("          ", "6277", " - ", "EMPLOYEE APPRECIATION")</f>
        <v xml:space="preserve">          6277 - EMPLOYEE APPRECIATION</v>
      </c>
      <c r="C78" s="11"/>
      <c r="D78" s="7"/>
      <c r="E78" s="2"/>
      <c r="F78" s="6">
        <f t="shared" si="36"/>
        <v>0</v>
      </c>
      <c r="G78" s="2"/>
      <c r="H78" s="7"/>
      <c r="I78" s="2"/>
      <c r="J78" s="6">
        <f t="shared" si="37"/>
        <v>0</v>
      </c>
      <c r="K78" s="2"/>
      <c r="L78" s="7">
        <f t="shared" si="38"/>
        <v>0</v>
      </c>
      <c r="M78" s="2"/>
      <c r="N78" s="6">
        <f t="shared" si="39"/>
        <v>0</v>
      </c>
      <c r="O78" s="11"/>
      <c r="P78" s="7"/>
      <c r="Q78" s="2"/>
      <c r="R78" s="6">
        <f t="shared" si="40"/>
        <v>0</v>
      </c>
      <c r="S78" s="2"/>
      <c r="T78" s="7">
        <v>107.7</v>
      </c>
      <c r="U78" s="2"/>
      <c r="V78" s="6">
        <f t="shared" si="41"/>
        <v>7.1252647140040789E-5</v>
      </c>
      <c r="W78" s="2"/>
      <c r="X78" s="7">
        <f t="shared" si="42"/>
        <v>-107.7</v>
      </c>
      <c r="Y78" s="2"/>
      <c r="Z78" s="6">
        <f t="shared" si="43"/>
        <v>-1</v>
      </c>
    </row>
    <row r="79" spans="1:26" s="27" customFormat="1" outlineLevel="1" collapsed="1" x14ac:dyDescent="0.25">
      <c r="A79" s="29"/>
      <c r="B79" s="14" t="str">
        <f>CONCATENATE("     ","Equipment Rental                                  ")</f>
        <v xml:space="preserve">     Equipment Rental                                  </v>
      </c>
      <c r="C79" s="14"/>
      <c r="D79" s="1">
        <f>SUM(OSRRefD22_5x_0)</f>
        <v>91.26</v>
      </c>
      <c r="E79" s="1"/>
      <c r="F79" s="5">
        <f t="shared" si="36"/>
        <v>3.8940650454794034E-4</v>
      </c>
      <c r="G79" s="1"/>
      <c r="H79" s="1">
        <f>SUM(OSRRefH22_5x_0)</f>
        <v>91.26</v>
      </c>
      <c r="I79" s="1"/>
      <c r="J79" s="5">
        <f t="shared" si="37"/>
        <v>3.8445389116753206E-4</v>
      </c>
      <c r="K79" s="1"/>
      <c r="L79" s="1">
        <f t="shared" si="38"/>
        <v>0</v>
      </c>
      <c r="M79" s="1"/>
      <c r="N79" s="5">
        <f t="shared" si="39"/>
        <v>0</v>
      </c>
      <c r="O79" s="14"/>
      <c r="P79" s="1">
        <f>SUM(OSRRefP22_5x_0)</f>
        <v>273.77999999999997</v>
      </c>
      <c r="Q79" s="1"/>
      <c r="R79" s="5">
        <f t="shared" si="40"/>
        <v>2.0960965885717949E-4</v>
      </c>
      <c r="S79" s="1"/>
      <c r="T79" s="1">
        <f>SUM(OSRRefT22_5x_0)</f>
        <v>273.77999999999997</v>
      </c>
      <c r="U79" s="1"/>
      <c r="V79" s="5">
        <f t="shared" si="41"/>
        <v>1.8112859548746857E-4</v>
      </c>
      <c r="W79" s="1"/>
      <c r="X79" s="1">
        <f t="shared" si="42"/>
        <v>0</v>
      </c>
      <c r="Y79" s="1"/>
      <c r="Z79" s="5">
        <f t="shared" si="43"/>
        <v>0</v>
      </c>
    </row>
    <row r="80" spans="1:26" s="24" customFormat="1" hidden="1" outlineLevel="2" x14ac:dyDescent="0.25">
      <c r="A80" s="28"/>
      <c r="B80" s="11" t="str">
        <f>CONCATENATE("          ", "6351", " - ", "EQUIPMENT RENTAL")</f>
        <v xml:space="preserve">          6351 - EQUIPMENT RENTAL</v>
      </c>
      <c r="C80" s="11"/>
      <c r="D80" s="7">
        <v>91.26</v>
      </c>
      <c r="E80" s="2"/>
      <c r="F80" s="6">
        <f t="shared" si="36"/>
        <v>3.8940650454794034E-4</v>
      </c>
      <c r="G80" s="2"/>
      <c r="H80" s="7">
        <v>91.26</v>
      </c>
      <c r="I80" s="2"/>
      <c r="J80" s="6">
        <f t="shared" si="37"/>
        <v>3.8445389116753206E-4</v>
      </c>
      <c r="K80" s="2"/>
      <c r="L80" s="7">
        <f t="shared" si="38"/>
        <v>0</v>
      </c>
      <c r="M80" s="2"/>
      <c r="N80" s="6">
        <f t="shared" si="39"/>
        <v>0</v>
      </c>
      <c r="O80" s="11"/>
      <c r="P80" s="7">
        <v>273.77999999999997</v>
      </c>
      <c r="Q80" s="2"/>
      <c r="R80" s="6">
        <f t="shared" si="40"/>
        <v>2.0960965885717949E-4</v>
      </c>
      <c r="S80" s="2"/>
      <c r="T80" s="7">
        <v>273.77999999999997</v>
      </c>
      <c r="U80" s="2"/>
      <c r="V80" s="6">
        <f t="shared" si="41"/>
        <v>1.8112859548746857E-4</v>
      </c>
      <c r="W80" s="2"/>
      <c r="X80" s="7">
        <f t="shared" si="42"/>
        <v>0</v>
      </c>
      <c r="Y80" s="2"/>
      <c r="Z80" s="6">
        <f t="shared" si="43"/>
        <v>0</v>
      </c>
    </row>
    <row r="81" spans="1:26" s="27" customFormat="1" outlineLevel="1" collapsed="1" x14ac:dyDescent="0.25">
      <c r="A81" s="29"/>
      <c r="B81" s="14" t="str">
        <f>CONCATENATE("     ","Freight out/Postage                               ")</f>
        <v xml:space="preserve">     Freight out/Postage                               </v>
      </c>
      <c r="C81" s="14"/>
      <c r="D81" s="1">
        <f>SUM(OSRRefD22_6x_0)</f>
        <v>84.57</v>
      </c>
      <c r="E81" s="1"/>
      <c r="F81" s="5">
        <f t="shared" si="36"/>
        <v>3.6086026834998146E-4</v>
      </c>
      <c r="G81" s="1"/>
      <c r="H81" s="1">
        <f>SUM(OSRRefH22_6x_0)</f>
        <v>35.35</v>
      </c>
      <c r="I81" s="1"/>
      <c r="J81" s="5">
        <f t="shared" si="37"/>
        <v>1.4892006413294169E-4</v>
      </c>
      <c r="K81" s="1"/>
      <c r="L81" s="1">
        <f t="shared" si="38"/>
        <v>49.219999999999992</v>
      </c>
      <c r="M81" s="1"/>
      <c r="N81" s="5">
        <f t="shared" si="39"/>
        <v>1.3923620933521921</v>
      </c>
      <c r="O81" s="14"/>
      <c r="P81" s="1">
        <f>SUM(OSRRefP22_6x_0)</f>
        <v>380.54</v>
      </c>
      <c r="Q81" s="1"/>
      <c r="R81" s="5">
        <f t="shared" si="40"/>
        <v>2.913465541000478E-4</v>
      </c>
      <c r="S81" s="1"/>
      <c r="T81" s="1">
        <f>SUM(OSRRefT22_6x_0)</f>
        <v>536.16</v>
      </c>
      <c r="U81" s="1"/>
      <c r="V81" s="5">
        <f t="shared" si="41"/>
        <v>3.5471512804646489E-4</v>
      </c>
      <c r="W81" s="1"/>
      <c r="X81" s="1">
        <f t="shared" si="42"/>
        <v>-155.61999999999995</v>
      </c>
      <c r="Y81" s="1"/>
      <c r="Z81" s="5">
        <f t="shared" si="43"/>
        <v>-0.29024917934944783</v>
      </c>
    </row>
    <row r="82" spans="1:26" s="24" customFormat="1" hidden="1" outlineLevel="2" x14ac:dyDescent="0.25">
      <c r="A82" s="28"/>
      <c r="B82" s="11" t="str">
        <f>CONCATENATE("          ", "6305", " - ", "FREIGHT OUT")</f>
        <v xml:space="preserve">          6305 - FREIGHT OUT</v>
      </c>
      <c r="C82" s="11"/>
      <c r="D82" s="7">
        <v>84.57</v>
      </c>
      <c r="E82" s="2"/>
      <c r="F82" s="6">
        <f t="shared" si="36"/>
        <v>3.6086026834998146E-4</v>
      </c>
      <c r="G82" s="2"/>
      <c r="H82" s="7">
        <v>35.35</v>
      </c>
      <c r="I82" s="2"/>
      <c r="J82" s="6">
        <f t="shared" si="37"/>
        <v>1.4892006413294169E-4</v>
      </c>
      <c r="K82" s="2"/>
      <c r="L82" s="7">
        <f t="shared" si="38"/>
        <v>49.219999999999992</v>
      </c>
      <c r="M82" s="2"/>
      <c r="N82" s="6">
        <f t="shared" si="39"/>
        <v>1.3923620933521921</v>
      </c>
      <c r="O82" s="11"/>
      <c r="P82" s="7">
        <v>380.54</v>
      </c>
      <c r="Q82" s="2"/>
      <c r="R82" s="6">
        <f t="shared" si="40"/>
        <v>2.913465541000478E-4</v>
      </c>
      <c r="S82" s="2"/>
      <c r="T82" s="7">
        <v>536.16</v>
      </c>
      <c r="U82" s="2"/>
      <c r="V82" s="6">
        <f t="shared" si="41"/>
        <v>3.5471512804646489E-4</v>
      </c>
      <c r="W82" s="2"/>
      <c r="X82" s="7">
        <f t="shared" si="42"/>
        <v>-155.61999999999995</v>
      </c>
      <c r="Y82" s="2"/>
      <c r="Z82" s="6">
        <f t="shared" si="43"/>
        <v>-0.29024917934944783</v>
      </c>
    </row>
    <row r="83" spans="1:26" s="27" customFormat="1" outlineLevel="1" collapsed="1" x14ac:dyDescent="0.25">
      <c r="A83" s="29"/>
      <c r="B83" s="14" t="str">
        <f>CONCATENATE("     ","General                                           ")</f>
        <v xml:space="preserve">     General                                           </v>
      </c>
      <c r="C83" s="14"/>
      <c r="D83" s="1">
        <f>SUM(OSRRefD22_7x_0)</f>
        <v>0</v>
      </c>
      <c r="E83" s="1"/>
      <c r="F83" s="5">
        <f t="shared" si="36"/>
        <v>0</v>
      </c>
      <c r="G83" s="1"/>
      <c r="H83" s="1">
        <f>SUM(OSRRefH22_7x_0)</f>
        <v>0</v>
      </c>
      <c r="I83" s="1"/>
      <c r="J83" s="5">
        <f t="shared" si="37"/>
        <v>0</v>
      </c>
      <c r="K83" s="1"/>
      <c r="L83" s="1">
        <f t="shared" si="38"/>
        <v>0</v>
      </c>
      <c r="M83" s="1"/>
      <c r="N83" s="5">
        <f t="shared" si="39"/>
        <v>0</v>
      </c>
      <c r="O83" s="14"/>
      <c r="P83" s="1">
        <f>SUM(OSRRefP22_7x_0)</f>
        <v>0</v>
      </c>
      <c r="Q83" s="1"/>
      <c r="R83" s="5">
        <f t="shared" si="40"/>
        <v>0</v>
      </c>
      <c r="S83" s="1"/>
      <c r="T83" s="1">
        <f>SUM(OSRRefT22_7x_0)</f>
        <v>-4794.1899999999996</v>
      </c>
      <c r="U83" s="1"/>
      <c r="V83" s="5">
        <f t="shared" si="41"/>
        <v>-3.1717616378116264E-3</v>
      </c>
      <c r="W83" s="1"/>
      <c r="X83" s="1">
        <f t="shared" si="42"/>
        <v>4794.1899999999996</v>
      </c>
      <c r="Y83" s="1"/>
      <c r="Z83" s="5">
        <f t="shared" si="43"/>
        <v>-1</v>
      </c>
    </row>
    <row r="84" spans="1:26" s="24" customFormat="1" hidden="1" outlineLevel="2" x14ac:dyDescent="0.25">
      <c r="A84" s="28"/>
      <c r="B84" s="11" t="str">
        <f>CONCATENATE("          ", "6279", " - ", "GENERAL EXPENSE")</f>
        <v xml:space="preserve">          6279 - GENERAL EXPENSE</v>
      </c>
      <c r="C84" s="11"/>
      <c r="D84" s="7"/>
      <c r="E84" s="2"/>
      <c r="F84" s="6">
        <f t="shared" si="36"/>
        <v>0</v>
      </c>
      <c r="G84" s="2"/>
      <c r="H84" s="7"/>
      <c r="I84" s="2"/>
      <c r="J84" s="6">
        <f t="shared" si="37"/>
        <v>0</v>
      </c>
      <c r="K84" s="2"/>
      <c r="L84" s="7">
        <f t="shared" si="38"/>
        <v>0</v>
      </c>
      <c r="M84" s="2"/>
      <c r="N84" s="6">
        <f t="shared" si="39"/>
        <v>0</v>
      </c>
      <c r="O84" s="11"/>
      <c r="P84" s="7"/>
      <c r="Q84" s="2"/>
      <c r="R84" s="6">
        <f t="shared" si="40"/>
        <v>0</v>
      </c>
      <c r="S84" s="2"/>
      <c r="T84" s="7">
        <v>-4794.1899999999996</v>
      </c>
      <c r="U84" s="2"/>
      <c r="V84" s="6">
        <f t="shared" si="41"/>
        <v>-3.1717616378116264E-3</v>
      </c>
      <c r="W84" s="2"/>
      <c r="X84" s="7">
        <f t="shared" si="42"/>
        <v>4794.1899999999996</v>
      </c>
      <c r="Y84" s="2"/>
      <c r="Z84" s="6">
        <f t="shared" si="43"/>
        <v>-1</v>
      </c>
    </row>
    <row r="85" spans="1:26" s="27" customFormat="1" outlineLevel="1" collapsed="1" x14ac:dyDescent="0.25">
      <c r="A85" s="29"/>
      <c r="B85" s="14" t="str">
        <f>CONCATENATE("     ","Inventory Adjustment                              ")</f>
        <v xml:space="preserve">     Inventory Adjustment                              </v>
      </c>
      <c r="C85" s="14"/>
      <c r="D85" s="1">
        <f>SUM(OSRRefD22_8x_0)</f>
        <v>1000</v>
      </c>
      <c r="E85" s="1"/>
      <c r="F85" s="5">
        <f t="shared" si="36"/>
        <v>4.2670009264512412E-3</v>
      </c>
      <c r="G85" s="1"/>
      <c r="H85" s="1">
        <f>SUM(OSRRefH22_8x_0)</f>
        <v>1000</v>
      </c>
      <c r="I85" s="1"/>
      <c r="J85" s="5">
        <f t="shared" si="37"/>
        <v>4.2127316586405006E-3</v>
      </c>
      <c r="K85" s="1"/>
      <c r="L85" s="1">
        <f t="shared" si="38"/>
        <v>0</v>
      </c>
      <c r="M85" s="1"/>
      <c r="N85" s="5">
        <f t="shared" si="39"/>
        <v>0</v>
      </c>
      <c r="O85" s="14"/>
      <c r="P85" s="1">
        <f>SUM(OSRRefP22_8x_0)</f>
        <v>3000</v>
      </c>
      <c r="Q85" s="1"/>
      <c r="R85" s="5">
        <f t="shared" si="40"/>
        <v>2.296840443317768E-3</v>
      </c>
      <c r="S85" s="1"/>
      <c r="T85" s="1">
        <f>SUM(OSRRefT22_8x_0)</f>
        <v>3000</v>
      </c>
      <c r="U85" s="1"/>
      <c r="V85" s="5">
        <f t="shared" si="41"/>
        <v>1.9847534022295484E-3</v>
      </c>
      <c r="W85" s="1"/>
      <c r="X85" s="1">
        <f t="shared" si="42"/>
        <v>0</v>
      </c>
      <c r="Y85" s="1"/>
      <c r="Z85" s="5">
        <f t="shared" si="43"/>
        <v>0</v>
      </c>
    </row>
    <row r="86" spans="1:26" s="24" customFormat="1" hidden="1" outlineLevel="2" x14ac:dyDescent="0.25">
      <c r="A86" s="28"/>
      <c r="B86" s="11" t="str">
        <f>CONCATENATE("          ", "6408", " - ", "INVENTORY ADJUSTMENT")</f>
        <v xml:space="preserve">          6408 - INVENTORY ADJUSTMENT</v>
      </c>
      <c r="C86" s="11"/>
      <c r="D86" s="7">
        <v>1000</v>
      </c>
      <c r="E86" s="2"/>
      <c r="F86" s="6">
        <f t="shared" si="36"/>
        <v>4.2670009264512412E-3</v>
      </c>
      <c r="G86" s="2"/>
      <c r="H86" s="7">
        <v>1000</v>
      </c>
      <c r="I86" s="2"/>
      <c r="J86" s="6">
        <f t="shared" si="37"/>
        <v>4.2127316586405006E-3</v>
      </c>
      <c r="K86" s="2"/>
      <c r="L86" s="7">
        <f t="shared" si="38"/>
        <v>0</v>
      </c>
      <c r="M86" s="2"/>
      <c r="N86" s="6">
        <f t="shared" si="39"/>
        <v>0</v>
      </c>
      <c r="O86" s="11"/>
      <c r="P86" s="7">
        <v>3000</v>
      </c>
      <c r="Q86" s="2"/>
      <c r="R86" s="6">
        <f t="shared" si="40"/>
        <v>2.296840443317768E-3</v>
      </c>
      <c r="S86" s="2"/>
      <c r="T86" s="7">
        <v>3000</v>
      </c>
      <c r="U86" s="2"/>
      <c r="V86" s="6">
        <f t="shared" si="41"/>
        <v>1.9847534022295484E-3</v>
      </c>
      <c r="W86" s="2"/>
      <c r="X86" s="7">
        <f t="shared" si="42"/>
        <v>0</v>
      </c>
      <c r="Y86" s="2"/>
      <c r="Z86" s="6">
        <f t="shared" si="43"/>
        <v>0</v>
      </c>
    </row>
    <row r="87" spans="1:26" s="27" customFormat="1" outlineLevel="1" collapsed="1" x14ac:dyDescent="0.25">
      <c r="A87" s="29"/>
      <c r="B87" s="14" t="str">
        <f>CONCATENATE("     ","Repair and Maintenance                            ")</f>
        <v xml:space="preserve">     Repair and Maintenance                            </v>
      </c>
      <c r="C87" s="14"/>
      <c r="D87" s="1">
        <f>SUM(OSRRefD22_9x_0)</f>
        <v>0</v>
      </c>
      <c r="E87" s="1"/>
      <c r="F87" s="5">
        <f t="shared" si="36"/>
        <v>0</v>
      </c>
      <c r="G87" s="1"/>
      <c r="H87" s="1">
        <f>SUM(OSRRefH22_9x_0)</f>
        <v>68.94</v>
      </c>
      <c r="I87" s="1"/>
      <c r="J87" s="5">
        <f t="shared" si="37"/>
        <v>2.9042572054667606E-4</v>
      </c>
      <c r="K87" s="1"/>
      <c r="L87" s="1">
        <f t="shared" si="38"/>
        <v>-68.94</v>
      </c>
      <c r="M87" s="1"/>
      <c r="N87" s="5">
        <f t="shared" si="39"/>
        <v>-1</v>
      </c>
      <c r="O87" s="14"/>
      <c r="P87" s="1">
        <f>SUM(OSRRefP22_9x_0)</f>
        <v>2900.53</v>
      </c>
      <c r="Q87" s="1"/>
      <c r="R87" s="5">
        <f t="shared" si="40"/>
        <v>2.220684870352162E-3</v>
      </c>
      <c r="S87" s="1"/>
      <c r="T87" s="1">
        <f>SUM(OSRRefT22_9x_0)</f>
        <v>91.8</v>
      </c>
      <c r="U87" s="1"/>
      <c r="V87" s="5">
        <f t="shared" si="41"/>
        <v>6.0733454108224185E-5</v>
      </c>
      <c r="W87" s="1"/>
      <c r="X87" s="1">
        <f t="shared" si="42"/>
        <v>2808.73</v>
      </c>
      <c r="Y87" s="1"/>
      <c r="Z87" s="5">
        <f t="shared" si="43"/>
        <v>30.596187363834424</v>
      </c>
    </row>
    <row r="88" spans="1:26" s="24" customFormat="1" hidden="1" outlineLevel="2" x14ac:dyDescent="0.25">
      <c r="A88" s="28"/>
      <c r="B88" s="11" t="str">
        <f>CONCATENATE("          ", "6371", " - ", "COMPUTER SOFTWARE MAINTENANCE")</f>
        <v xml:space="preserve">          6371 - COMPUTER SOFTWARE MAINTENANCE</v>
      </c>
      <c r="C88" s="11"/>
      <c r="D88" s="7"/>
      <c r="E88" s="2"/>
      <c r="F88" s="6">
        <f t="shared" si="36"/>
        <v>0</v>
      </c>
      <c r="G88" s="2"/>
      <c r="H88" s="7"/>
      <c r="I88" s="2"/>
      <c r="J88" s="6">
        <f t="shared" si="37"/>
        <v>0</v>
      </c>
      <c r="K88" s="2"/>
      <c r="L88" s="7">
        <f t="shared" si="38"/>
        <v>0</v>
      </c>
      <c r="M88" s="2"/>
      <c r="N88" s="6">
        <f t="shared" si="39"/>
        <v>0</v>
      </c>
      <c r="O88" s="11"/>
      <c r="P88" s="7">
        <v>2887.5</v>
      </c>
      <c r="Q88" s="2"/>
      <c r="R88" s="6">
        <f t="shared" si="40"/>
        <v>2.2107089266933514E-3</v>
      </c>
      <c r="S88" s="2"/>
      <c r="T88" s="7"/>
      <c r="U88" s="2"/>
      <c r="V88" s="6">
        <f t="shared" si="41"/>
        <v>0</v>
      </c>
      <c r="W88" s="2"/>
      <c r="X88" s="7">
        <f t="shared" si="42"/>
        <v>2887.5</v>
      </c>
      <c r="Y88" s="2"/>
      <c r="Z88" s="6">
        <f t="shared" si="43"/>
        <v>0</v>
      </c>
    </row>
    <row r="89" spans="1:26" s="24" customFormat="1" hidden="1" outlineLevel="2" x14ac:dyDescent="0.25">
      <c r="A89" s="28"/>
      <c r="B89" s="11" t="str">
        <f>CONCATENATE("          ", "6373", " - ", "MAINTENANCE CONTRACTS")</f>
        <v xml:space="preserve">          6373 - MAINTENANCE CONTRACTS</v>
      </c>
      <c r="C89" s="11"/>
      <c r="D89" s="7"/>
      <c r="E89" s="2"/>
      <c r="F89" s="6">
        <f t="shared" si="36"/>
        <v>0</v>
      </c>
      <c r="G89" s="2"/>
      <c r="H89" s="7">
        <v>43.83</v>
      </c>
      <c r="I89" s="2"/>
      <c r="J89" s="6">
        <f t="shared" si="37"/>
        <v>1.8464402859821313E-4</v>
      </c>
      <c r="K89" s="2"/>
      <c r="L89" s="7">
        <f t="shared" si="38"/>
        <v>-43.83</v>
      </c>
      <c r="M89" s="2"/>
      <c r="N89" s="6">
        <f t="shared" si="39"/>
        <v>-1</v>
      </c>
      <c r="O89" s="11"/>
      <c r="P89" s="7">
        <v>13.03</v>
      </c>
      <c r="Q89" s="2"/>
      <c r="R89" s="6">
        <f t="shared" si="40"/>
        <v>9.9759436588101712E-6</v>
      </c>
      <c r="S89" s="2"/>
      <c r="T89" s="7">
        <v>66.69</v>
      </c>
      <c r="U89" s="2"/>
      <c r="V89" s="6">
        <f t="shared" si="41"/>
        <v>4.4121068131562864E-5</v>
      </c>
      <c r="W89" s="2"/>
      <c r="X89" s="7">
        <f t="shared" si="42"/>
        <v>-53.66</v>
      </c>
      <c r="Y89" s="2"/>
      <c r="Z89" s="6">
        <f t="shared" si="43"/>
        <v>-0.80461838356575199</v>
      </c>
    </row>
    <row r="90" spans="1:26" s="24" customFormat="1" hidden="1" outlineLevel="2" x14ac:dyDescent="0.25">
      <c r="A90" s="28"/>
      <c r="B90" s="11" t="str">
        <f>CONCATENATE("          ", "6375", " - ", "OUTSIDE REPAIRS &amp; MAINTENANCE")</f>
        <v xml:space="preserve">          6375 - OUTSIDE REPAIRS &amp; MAINTENANCE</v>
      </c>
      <c r="C90" s="11"/>
      <c r="D90" s="7"/>
      <c r="E90" s="2"/>
      <c r="F90" s="6">
        <f t="shared" si="36"/>
        <v>0</v>
      </c>
      <c r="G90" s="2"/>
      <c r="H90" s="7">
        <v>25.11</v>
      </c>
      <c r="I90" s="2"/>
      <c r="J90" s="6">
        <f t="shared" si="37"/>
        <v>1.0578169194846296E-4</v>
      </c>
      <c r="K90" s="2"/>
      <c r="L90" s="7">
        <f t="shared" si="38"/>
        <v>-25.11</v>
      </c>
      <c r="M90" s="2"/>
      <c r="N90" s="6">
        <f t="shared" si="39"/>
        <v>-1</v>
      </c>
      <c r="O90" s="11"/>
      <c r="P90" s="7"/>
      <c r="Q90" s="2"/>
      <c r="R90" s="6">
        <f t="shared" si="40"/>
        <v>0</v>
      </c>
      <c r="S90" s="2"/>
      <c r="T90" s="7">
        <v>25.11</v>
      </c>
      <c r="U90" s="2"/>
      <c r="V90" s="6">
        <f t="shared" si="41"/>
        <v>1.661238597666132E-5</v>
      </c>
      <c r="W90" s="2"/>
      <c r="X90" s="7">
        <f t="shared" si="42"/>
        <v>-25.11</v>
      </c>
      <c r="Y90" s="2"/>
      <c r="Z90" s="6">
        <f t="shared" si="43"/>
        <v>-1</v>
      </c>
    </row>
    <row r="91" spans="1:26" s="27" customFormat="1" outlineLevel="1" collapsed="1" x14ac:dyDescent="0.25">
      <c r="A91" s="29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1">
        <f>SUM(OSRRefD22_10x_0)</f>
        <v>47.44</v>
      </c>
      <c r="E91" s="1"/>
      <c r="F91" s="5">
        <f t="shared" ref="F91:F95" si="44">IF(D$12=0,0,D91/D$12)</f>
        <v>2.0242652395084689E-4</v>
      </c>
      <c r="G91" s="1"/>
      <c r="H91" s="1">
        <f>SUM(OSRRefH22_10x_0)</f>
        <v>73.040000000000006</v>
      </c>
      <c r="I91" s="1"/>
      <c r="J91" s="5">
        <f t="shared" ref="J91:J95" si="45">IF(H$12=0,0,H91/H$12)</f>
        <v>3.0769792034710219E-4</v>
      </c>
      <c r="K91" s="1"/>
      <c r="L91" s="1">
        <f t="shared" ref="L91:L95" si="46">+D91-H91</f>
        <v>-25.600000000000009</v>
      </c>
      <c r="M91" s="1"/>
      <c r="N91" s="5">
        <f t="shared" ref="N91:N95" si="47">IF(H91=0,0,L91/H91)</f>
        <v>-0.35049288061336265</v>
      </c>
      <c r="O91" s="14"/>
      <c r="P91" s="1">
        <f>SUM(OSRRefP22_10x_0)</f>
        <v>172.76</v>
      </c>
      <c r="Q91" s="1"/>
      <c r="R91" s="5">
        <f t="shared" ref="R91:R95" si="48">IF(P$12=0,0,P91/P$12)</f>
        <v>1.3226738499585918E-4</v>
      </c>
      <c r="S91" s="1"/>
      <c r="T91" s="1">
        <f>SUM(OSRRefT22_10x_0)</f>
        <v>633.04</v>
      </c>
      <c r="U91" s="1"/>
      <c r="V91" s="5">
        <f t="shared" ref="V91:V95" si="49">IF(T$12=0,0,T91/T$12)</f>
        <v>4.188094312491311E-4</v>
      </c>
      <c r="W91" s="1"/>
      <c r="X91" s="1">
        <f t="shared" ref="X91:X95" si="50">+P91-T91</f>
        <v>-460.28</v>
      </c>
      <c r="Y91" s="1"/>
      <c r="Z91" s="5">
        <f t="shared" ref="Z91:Z95" si="51">IF(T91=0,0,X91/T91)</f>
        <v>-0.72709465436623277</v>
      </c>
    </row>
    <row r="92" spans="1:26" s="24" customFormat="1" hidden="1" outlineLevel="2" x14ac:dyDescent="0.25">
      <c r="A92" s="28"/>
      <c r="B92" s="11" t="str">
        <f>CONCATENATE("          ", "6258", " - ", "MEMBERSHIP DUES")</f>
        <v xml:space="preserve">          6258 - MEMBERSHIP DUES</v>
      </c>
      <c r="C92" s="11"/>
      <c r="D92" s="7">
        <v>47.44</v>
      </c>
      <c r="E92" s="2"/>
      <c r="F92" s="6">
        <f t="shared" si="44"/>
        <v>2.0242652395084689E-4</v>
      </c>
      <c r="G92" s="2"/>
      <c r="H92" s="7">
        <v>73.040000000000006</v>
      </c>
      <c r="I92" s="2"/>
      <c r="J92" s="6">
        <f t="shared" si="45"/>
        <v>3.0769792034710219E-4</v>
      </c>
      <c r="K92" s="2"/>
      <c r="L92" s="7">
        <f t="shared" si="46"/>
        <v>-25.600000000000009</v>
      </c>
      <c r="M92" s="2"/>
      <c r="N92" s="6">
        <f t="shared" si="47"/>
        <v>-0.35049288061336265</v>
      </c>
      <c r="O92" s="11"/>
      <c r="P92" s="7">
        <v>172.76</v>
      </c>
      <c r="Q92" s="2"/>
      <c r="R92" s="6">
        <f t="shared" si="48"/>
        <v>1.3226738499585918E-4</v>
      </c>
      <c r="S92" s="2"/>
      <c r="T92" s="7">
        <v>633.04</v>
      </c>
      <c r="U92" s="2"/>
      <c r="V92" s="6">
        <f t="shared" si="49"/>
        <v>4.188094312491311E-4</v>
      </c>
      <c r="W92" s="2"/>
      <c r="X92" s="7">
        <f t="shared" si="50"/>
        <v>-460.28</v>
      </c>
      <c r="Y92" s="2"/>
      <c r="Z92" s="6">
        <f t="shared" si="51"/>
        <v>-0.72709465436623277</v>
      </c>
    </row>
    <row r="93" spans="1:26" s="27" customFormat="1" outlineLevel="1" collapsed="1" x14ac:dyDescent="0.25">
      <c r="A93" s="29"/>
      <c r="B93" s="14" t="str">
        <f>CONCATENATE("     ","Supplies                                          ")</f>
        <v xml:space="preserve">     Supplies                                          </v>
      </c>
      <c r="C93" s="14"/>
      <c r="D93" s="1">
        <f>SUM(OSRRefD22_11x_0)</f>
        <v>8.5399999999999991</v>
      </c>
      <c r="E93" s="1"/>
      <c r="F93" s="5">
        <f t="shared" si="44"/>
        <v>3.6440187911893596E-5</v>
      </c>
      <c r="G93" s="1"/>
      <c r="H93" s="1">
        <f>SUM(OSRRefH22_11x_0)</f>
        <v>98.81</v>
      </c>
      <c r="I93" s="1"/>
      <c r="J93" s="5">
        <f t="shared" si="45"/>
        <v>4.1626001519026783E-4</v>
      </c>
      <c r="K93" s="1"/>
      <c r="L93" s="1">
        <f t="shared" si="46"/>
        <v>-90.27000000000001</v>
      </c>
      <c r="M93" s="1"/>
      <c r="N93" s="5">
        <f t="shared" si="47"/>
        <v>-0.91357150086023686</v>
      </c>
      <c r="O93" s="14"/>
      <c r="P93" s="1">
        <f>SUM(OSRRefP22_11x_0)</f>
        <v>609.89</v>
      </c>
      <c r="Q93" s="1"/>
      <c r="R93" s="5">
        <f t="shared" si="48"/>
        <v>4.6694000599169114E-4</v>
      </c>
      <c r="S93" s="1"/>
      <c r="T93" s="1">
        <f>SUM(OSRRefT22_11x_0)</f>
        <v>1088.97</v>
      </c>
      <c r="U93" s="1"/>
      <c r="V93" s="5">
        <f t="shared" si="49"/>
        <v>7.2044563747530389E-4</v>
      </c>
      <c r="W93" s="1"/>
      <c r="X93" s="1">
        <f t="shared" si="50"/>
        <v>-479.08000000000004</v>
      </c>
      <c r="Y93" s="1"/>
      <c r="Z93" s="5">
        <f t="shared" si="51"/>
        <v>-0.43993865763060508</v>
      </c>
    </row>
    <row r="94" spans="1:26" s="24" customFormat="1" hidden="1" outlineLevel="2" x14ac:dyDescent="0.25">
      <c r="A94" s="28"/>
      <c r="B94" s="11" t="str">
        <f>CONCATENATE("          ", "6241", " - ", "OFFICE EXPENSE")</f>
        <v xml:space="preserve">          6241 - OFFICE EXPENSE</v>
      </c>
      <c r="C94" s="11"/>
      <c r="D94" s="7">
        <v>8.5399999999999991</v>
      </c>
      <c r="E94" s="2"/>
      <c r="F94" s="6">
        <f t="shared" si="44"/>
        <v>3.6440187911893596E-5</v>
      </c>
      <c r="G94" s="2"/>
      <c r="H94" s="7">
        <v>98.81</v>
      </c>
      <c r="I94" s="2"/>
      <c r="J94" s="6">
        <f t="shared" si="45"/>
        <v>4.1626001519026783E-4</v>
      </c>
      <c r="K94" s="2"/>
      <c r="L94" s="7">
        <f t="shared" si="46"/>
        <v>-90.27000000000001</v>
      </c>
      <c r="M94" s="2"/>
      <c r="N94" s="6">
        <f t="shared" si="47"/>
        <v>-0.91357150086023686</v>
      </c>
      <c r="O94" s="11"/>
      <c r="P94" s="7">
        <v>609.89</v>
      </c>
      <c r="Q94" s="2"/>
      <c r="R94" s="6">
        <f t="shared" si="48"/>
        <v>4.6694000599169114E-4</v>
      </c>
      <c r="S94" s="2"/>
      <c r="T94" s="7">
        <v>455.87</v>
      </c>
      <c r="U94" s="2"/>
      <c r="V94" s="6">
        <f t="shared" si="49"/>
        <v>3.0159651115812809E-4</v>
      </c>
      <c r="W94" s="2"/>
      <c r="X94" s="7">
        <f t="shared" si="50"/>
        <v>154.01999999999998</v>
      </c>
      <c r="Y94" s="2"/>
      <c r="Z94" s="6">
        <f t="shared" si="51"/>
        <v>0.33785947748261563</v>
      </c>
    </row>
    <row r="95" spans="1:26" s="24" customFormat="1" hidden="1" outlineLevel="2" x14ac:dyDescent="0.25">
      <c r="A95" s="28"/>
      <c r="B95" s="11" t="str">
        <f>CONCATENATE("          ", "6247", " - ", "STORE SUPPLIES")</f>
        <v xml:space="preserve">          6247 - STORE SUPPLIES</v>
      </c>
      <c r="C95" s="11"/>
      <c r="D95" s="7"/>
      <c r="E95" s="2"/>
      <c r="F95" s="6">
        <f t="shared" si="44"/>
        <v>0</v>
      </c>
      <c r="G95" s="2"/>
      <c r="H95" s="7"/>
      <c r="I95" s="2"/>
      <c r="J95" s="6">
        <f t="shared" si="45"/>
        <v>0</v>
      </c>
      <c r="K95" s="2"/>
      <c r="L95" s="7">
        <f t="shared" si="46"/>
        <v>0</v>
      </c>
      <c r="M95" s="2"/>
      <c r="N95" s="6">
        <f t="shared" si="47"/>
        <v>0</v>
      </c>
      <c r="O95" s="11"/>
      <c r="P95" s="7"/>
      <c r="Q95" s="2"/>
      <c r="R95" s="6">
        <f t="shared" si="48"/>
        <v>0</v>
      </c>
      <c r="S95" s="2"/>
      <c r="T95" s="7">
        <v>633.1</v>
      </c>
      <c r="U95" s="2"/>
      <c r="V95" s="6">
        <f t="shared" si="49"/>
        <v>4.1884912631717574E-4</v>
      </c>
      <c r="W95" s="2"/>
      <c r="X95" s="7">
        <f t="shared" si="50"/>
        <v>-633.1</v>
      </c>
      <c r="Y95" s="2"/>
      <c r="Z95" s="6">
        <f t="shared" si="51"/>
        <v>-1</v>
      </c>
    </row>
    <row r="96" spans="1:26" s="27" customFormat="1" outlineLevel="1" collapsed="1" x14ac:dyDescent="0.25">
      <c r="A96" s="29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SUM(OSRRefD22_12x_0)</f>
        <v>414.85</v>
      </c>
      <c r="E96" s="1"/>
      <c r="F96" s="5">
        <f t="shared" ref="F96:F98" si="52">IF(D$12=0,0,D96/D$12)</f>
        <v>1.7701653343382977E-3</v>
      </c>
      <c r="G96" s="1"/>
      <c r="H96" s="1">
        <f>SUM(OSRRefH22_12x_0)</f>
        <v>2635</v>
      </c>
      <c r="I96" s="1"/>
      <c r="J96" s="5">
        <f t="shared" ref="J96:J98" si="53">IF(H$12=0,0,H96/H$12)</f>
        <v>1.1100547920517718E-2</v>
      </c>
      <c r="K96" s="1"/>
      <c r="L96" s="1">
        <f t="shared" ref="L96:L98" si="54">+D96-H96</f>
        <v>-2220.15</v>
      </c>
      <c r="M96" s="1"/>
      <c r="N96" s="5">
        <f t="shared" ref="N96:N98" si="55">IF(H96=0,0,L96/H96)</f>
        <v>-0.84256166982922209</v>
      </c>
      <c r="O96" s="14"/>
      <c r="P96" s="1">
        <f>SUM(OSRRefP22_12x_0)</f>
        <v>1843.15</v>
      </c>
      <c r="Q96" s="1"/>
      <c r="R96" s="5">
        <f t="shared" ref="R96:R98" si="56">IF(P$12=0,0,P96/P$12)</f>
        <v>1.4111404877003813E-3</v>
      </c>
      <c r="S96" s="1"/>
      <c r="T96" s="1">
        <f>SUM(OSRRefT22_12x_0)</f>
        <v>3868.3</v>
      </c>
      <c r="U96" s="1"/>
      <c r="V96" s="5">
        <f t="shared" ref="V96:V98" si="57">IF(T$12=0,0,T96/T$12)</f>
        <v>2.559207195281521E-3</v>
      </c>
      <c r="W96" s="1"/>
      <c r="X96" s="1">
        <f t="shared" ref="X96:X98" si="58">+P96-T96</f>
        <v>-2025.15</v>
      </c>
      <c r="Y96" s="1"/>
      <c r="Z96" s="5">
        <f t="shared" ref="Z96:Z98" si="59">IF(T96=0,0,X96/T96)</f>
        <v>-0.52352454566605489</v>
      </c>
    </row>
    <row r="97" spans="1:26" s="24" customFormat="1" hidden="1" outlineLevel="2" x14ac:dyDescent="0.25">
      <c r="A97" s="28"/>
      <c r="B97" s="11" t="str">
        <f>CONCATENATE("          ", "6303", " - ", "DATA PHONE LINES")</f>
        <v xml:space="preserve">          6303 - DATA PHONE LINES</v>
      </c>
      <c r="C97" s="11"/>
      <c r="D97" s="7"/>
      <c r="E97" s="2"/>
      <c r="F97" s="6">
        <f t="shared" si="52"/>
        <v>0</v>
      </c>
      <c r="G97" s="2"/>
      <c r="H97" s="7">
        <v>885</v>
      </c>
      <c r="I97" s="2"/>
      <c r="J97" s="6">
        <f t="shared" si="53"/>
        <v>3.728267517896843E-3</v>
      </c>
      <c r="K97" s="2"/>
      <c r="L97" s="7">
        <f t="shared" si="54"/>
        <v>-885</v>
      </c>
      <c r="M97" s="2"/>
      <c r="N97" s="6">
        <f t="shared" si="55"/>
        <v>-1</v>
      </c>
      <c r="O97" s="11"/>
      <c r="P97" s="7">
        <v>295</v>
      </c>
      <c r="Q97" s="2"/>
      <c r="R97" s="6">
        <f t="shared" si="56"/>
        <v>2.2585597692624719E-4</v>
      </c>
      <c r="S97" s="2"/>
      <c r="T97" s="7">
        <v>1180</v>
      </c>
      <c r="U97" s="2"/>
      <c r="V97" s="6">
        <f t="shared" si="57"/>
        <v>7.8066967154362247E-4</v>
      </c>
      <c r="W97" s="2"/>
      <c r="X97" s="7">
        <f t="shared" si="58"/>
        <v>-885</v>
      </c>
      <c r="Y97" s="2"/>
      <c r="Z97" s="6">
        <f t="shared" si="59"/>
        <v>-0.75</v>
      </c>
    </row>
    <row r="98" spans="1:26" s="24" customFormat="1" hidden="1" outlineLevel="2" x14ac:dyDescent="0.25">
      <c r="A98" s="28"/>
      <c r="B98" s="11" t="str">
        <f>CONCATENATE("          ", "6309", " - ", "TELEPHONE")</f>
        <v xml:space="preserve">          6309 - TELEPHONE</v>
      </c>
      <c r="C98" s="11"/>
      <c r="D98" s="7">
        <v>414.85</v>
      </c>
      <c r="E98" s="2"/>
      <c r="F98" s="6">
        <f t="shared" si="52"/>
        <v>1.7701653343382977E-3</v>
      </c>
      <c r="G98" s="2"/>
      <c r="H98" s="7">
        <v>1750</v>
      </c>
      <c r="I98" s="2"/>
      <c r="J98" s="6">
        <f t="shared" si="53"/>
        <v>7.372280402620876E-3</v>
      </c>
      <c r="K98" s="2"/>
      <c r="L98" s="7">
        <f t="shared" si="54"/>
        <v>-1335.15</v>
      </c>
      <c r="M98" s="2"/>
      <c r="N98" s="6">
        <f t="shared" si="55"/>
        <v>-0.76294285714285714</v>
      </c>
      <c r="O98" s="11"/>
      <c r="P98" s="7">
        <v>1548.15</v>
      </c>
      <c r="Q98" s="2"/>
      <c r="R98" s="6">
        <f t="shared" si="56"/>
        <v>1.1852845107741341E-3</v>
      </c>
      <c r="S98" s="2"/>
      <c r="T98" s="7">
        <v>2688.3</v>
      </c>
      <c r="U98" s="2"/>
      <c r="V98" s="6">
        <f t="shared" si="57"/>
        <v>1.7785375237378985E-3</v>
      </c>
      <c r="W98" s="2"/>
      <c r="X98" s="7">
        <f t="shared" si="58"/>
        <v>-1140.1500000000001</v>
      </c>
      <c r="Y98" s="2"/>
      <c r="Z98" s="6">
        <f t="shared" si="59"/>
        <v>-0.42411561209686421</v>
      </c>
    </row>
    <row r="99" spans="1:26" s="27" customFormat="1" outlineLevel="1" collapsed="1" x14ac:dyDescent="0.25">
      <c r="A99" s="29"/>
      <c r="B99" s="14" t="str">
        <f>CONCATENATE("     ","Travel                                            ")</f>
        <v xml:space="preserve">     Travel                                            </v>
      </c>
      <c r="C99" s="14"/>
      <c r="D99" s="1">
        <f>SUM(OSRRefD22_13x_0)</f>
        <v>0</v>
      </c>
      <c r="E99" s="1"/>
      <c r="F99" s="5">
        <f t="shared" ref="F99:F100" si="60">IF(D$12=0,0,D99/D$12)</f>
        <v>0</v>
      </c>
      <c r="G99" s="1"/>
      <c r="H99" s="1">
        <f>SUM(OSRRefH22_13x_0)</f>
        <v>0</v>
      </c>
      <c r="I99" s="1"/>
      <c r="J99" s="5">
        <f t="shared" ref="J99:J100" si="61">IF(H$12=0,0,H99/H$12)</f>
        <v>0</v>
      </c>
      <c r="K99" s="1"/>
      <c r="L99" s="1">
        <f t="shared" ref="L99:L100" si="62">+D99-H99</f>
        <v>0</v>
      </c>
      <c r="M99" s="1"/>
      <c r="N99" s="5">
        <f t="shared" ref="N99:N100" si="63">IF(H99=0,0,L99/H99)</f>
        <v>0</v>
      </c>
      <c r="O99" s="14"/>
      <c r="P99" s="1">
        <f>SUM(OSRRefP22_13x_0)</f>
        <v>0</v>
      </c>
      <c r="Q99" s="1"/>
      <c r="R99" s="5">
        <f t="shared" ref="R99:R100" si="64">IF(P$12=0,0,P99/P$12)</f>
        <v>0</v>
      </c>
      <c r="S99" s="1"/>
      <c r="T99" s="1">
        <f>SUM(OSRRefT22_13x_0)</f>
        <v>0.16</v>
      </c>
      <c r="U99" s="1"/>
      <c r="V99" s="5">
        <f t="shared" ref="V99:V100" si="65">IF(T$12=0,0,T99/T$12)</f>
        <v>1.0585351478557593E-7</v>
      </c>
      <c r="W99" s="1"/>
      <c r="X99" s="1">
        <f t="shared" ref="X99:X100" si="66">+P99-T99</f>
        <v>-0.16</v>
      </c>
      <c r="Y99" s="1"/>
      <c r="Z99" s="5">
        <f t="shared" ref="Z99:Z100" si="67">IF(T99=0,0,X99/T99)</f>
        <v>-1</v>
      </c>
    </row>
    <row r="100" spans="1:26" s="24" customFormat="1" hidden="1" outlineLevel="2" x14ac:dyDescent="0.25">
      <c r="A100" s="28"/>
      <c r="B100" s="11" t="str">
        <f>CONCATENATE("          ", "6292", " - ", "TRAVEL/CONFERENCE")</f>
        <v xml:space="preserve">          6292 - TRAVEL/CONFERENCE</v>
      </c>
      <c r="C100" s="11"/>
      <c r="D100" s="7"/>
      <c r="E100" s="2"/>
      <c r="F100" s="6">
        <f t="shared" si="60"/>
        <v>0</v>
      </c>
      <c r="G100" s="2"/>
      <c r="H100" s="7"/>
      <c r="I100" s="2"/>
      <c r="J100" s="6">
        <f t="shared" si="61"/>
        <v>0</v>
      </c>
      <c r="K100" s="2"/>
      <c r="L100" s="7">
        <f t="shared" si="62"/>
        <v>0</v>
      </c>
      <c r="M100" s="2"/>
      <c r="N100" s="6">
        <f t="shared" si="63"/>
        <v>0</v>
      </c>
      <c r="O100" s="11"/>
      <c r="P100" s="7"/>
      <c r="Q100" s="2"/>
      <c r="R100" s="6">
        <f t="shared" si="64"/>
        <v>0</v>
      </c>
      <c r="S100" s="2"/>
      <c r="T100" s="7">
        <v>0.16</v>
      </c>
      <c r="U100" s="2"/>
      <c r="V100" s="6">
        <f t="shared" si="65"/>
        <v>1.0585351478557593E-7</v>
      </c>
      <c r="W100" s="2"/>
      <c r="X100" s="7">
        <f t="shared" si="66"/>
        <v>-0.16</v>
      </c>
      <c r="Y100" s="2"/>
      <c r="Z100" s="6">
        <f t="shared" si="67"/>
        <v>-1</v>
      </c>
    </row>
    <row r="101" spans="1:26" s="54" customFormat="1" x14ac:dyDescent="0.25">
      <c r="A101" s="37"/>
      <c r="B101" s="37"/>
      <c r="C101" s="37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7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25">
      <c r="A102" s="10"/>
      <c r="B102" s="26" t="s">
        <v>292</v>
      </c>
      <c r="C102" s="10"/>
      <c r="D102" s="4">
        <f>SUM(OSRRefD25x_0)</f>
        <v>158981.44999999998</v>
      </c>
      <c r="E102" s="4"/>
      <c r="F102" s="12">
        <f t="shared" ref="F102:F105" si="68">IF(D$12=0,0,D102/D$12)</f>
        <v>0.67837399443856161</v>
      </c>
      <c r="G102" s="4"/>
      <c r="H102" s="4">
        <f>SUM(OSRRefH25x_0)</f>
        <v>156953.37</v>
      </c>
      <c r="I102" s="4"/>
      <c r="J102" s="12">
        <f t="shared" ref="J102:J105" si="69">IF(H$12=0,0,H102/H$12)</f>
        <v>0.66120243072931617</v>
      </c>
      <c r="K102" s="4"/>
      <c r="L102" s="4">
        <f t="shared" ref="L102:L105" si="70">+D102-H102</f>
        <v>2028.0799999999872</v>
      </c>
      <c r="M102" s="4"/>
      <c r="N102" s="12">
        <f t="shared" ref="N102:N105" si="71">IF(H102=0,0,L102/H102)</f>
        <v>1.2921544787474058E-2</v>
      </c>
      <c r="O102" s="10"/>
      <c r="P102" s="4">
        <f>SUM(OSRRefP25x_0)</f>
        <v>187956.47999999998</v>
      </c>
      <c r="Q102" s="4"/>
      <c r="R102" s="12">
        <f t="shared" ref="R102:R105" si="72">IF(P$12=0,0,P102/P$12)</f>
        <v>0.1439020149492157</v>
      </c>
      <c r="S102" s="4"/>
      <c r="T102" s="4">
        <f>SUM(OSRRefT25x_0)</f>
        <v>160900.78000000003</v>
      </c>
      <c r="U102" s="4"/>
      <c r="V102" s="12">
        <f t="shared" ref="V102:V105" si="73">IF(T$12=0,0,T102/T$12)</f>
        <v>0.10644945684212939</v>
      </c>
      <c r="W102" s="4"/>
      <c r="X102" s="4">
        <f t="shared" ref="X102:X105" si="74">+P102-T102</f>
        <v>27055.699999999953</v>
      </c>
      <c r="Y102" s="4"/>
      <c r="Z102" s="12">
        <f t="shared" ref="Z102:Z105" si="75">IF(T102=0,0,X102/T102)</f>
        <v>0.16815145333664602</v>
      </c>
    </row>
    <row r="103" spans="1:26" s="24" customFormat="1" hidden="1" outlineLevel="1" x14ac:dyDescent="0.25">
      <c r="A103" s="44"/>
      <c r="B103" s="11" t="str">
        <f>CONCATENATE("          ", "9150", " - ", "MISC. INCOME")</f>
        <v xml:space="preserve">          9150 - MISC. INCOME</v>
      </c>
      <c r="C103" s="11"/>
      <c r="D103" s="2">
        <f>--1139.37</f>
        <v>1139.3699999999999</v>
      </c>
      <c r="E103" s="2"/>
      <c r="F103" s="19">
        <f t="shared" si="68"/>
        <v>4.8616928455707505E-3</v>
      </c>
      <c r="G103" s="2"/>
      <c r="H103" s="2">
        <f>--9125.43</f>
        <v>9125.43</v>
      </c>
      <c r="I103" s="2"/>
      <c r="J103" s="19">
        <f t="shared" si="69"/>
        <v>3.8442987859707782E-2</v>
      </c>
      <c r="K103" s="2"/>
      <c r="L103" s="2">
        <f t="shared" si="70"/>
        <v>-7986.06</v>
      </c>
      <c r="M103" s="2"/>
      <c r="N103" s="19">
        <f t="shared" si="71"/>
        <v>-0.87514341789921135</v>
      </c>
      <c r="O103" s="11"/>
      <c r="P103" s="2">
        <f>--17555.01</f>
        <v>17555.009999999998</v>
      </c>
      <c r="Q103" s="2"/>
      <c r="R103" s="19">
        <f t="shared" si="72"/>
        <v>1.3440352316949282E-2</v>
      </c>
      <c r="S103" s="2"/>
      <c r="T103" s="2">
        <f>--11526.45</f>
        <v>11526.45</v>
      </c>
      <c r="U103" s="2"/>
      <c r="V103" s="19">
        <f t="shared" si="73"/>
        <v>7.6257202843762603E-3</v>
      </c>
      <c r="W103" s="2"/>
      <c r="X103" s="2">
        <f t="shared" si="74"/>
        <v>6028.5599999999977</v>
      </c>
      <c r="Y103" s="2"/>
      <c r="Z103" s="19">
        <f t="shared" si="75"/>
        <v>0.52301966346967166</v>
      </c>
    </row>
    <row r="104" spans="1:26" s="24" customFormat="1" hidden="1" outlineLevel="1" x14ac:dyDescent="0.25">
      <c r="A104" s="44"/>
      <c r="B104" s="11" t="str">
        <f>CONCATENATE("          ", "9151", " - ", "MISC. INCOME")</f>
        <v xml:space="preserve">          9151 - MISC. INCOME</v>
      </c>
      <c r="C104" s="11"/>
      <c r="D104" s="2">
        <f>--156907</f>
        <v>156907</v>
      </c>
      <c r="E104" s="2"/>
      <c r="F104" s="19">
        <f t="shared" si="68"/>
        <v>0.66952231436668497</v>
      </c>
      <c r="G104" s="2"/>
      <c r="H104" s="2">
        <f>--147285.39</f>
        <v>147285.39000000001</v>
      </c>
      <c r="I104" s="2"/>
      <c r="J104" s="19">
        <f t="shared" si="69"/>
        <v>0.62047382530821305</v>
      </c>
      <c r="K104" s="2"/>
      <c r="L104" s="2">
        <f t="shared" si="70"/>
        <v>9621.609999999986</v>
      </c>
      <c r="M104" s="2"/>
      <c r="N104" s="19">
        <f t="shared" si="71"/>
        <v>6.5326302900783201E-2</v>
      </c>
      <c r="O104" s="11"/>
      <c r="P104" s="2">
        <f>--168463.36</f>
        <v>168463.35999999999</v>
      </c>
      <c r="Q104" s="2"/>
      <c r="R104" s="19">
        <f t="shared" si="72"/>
        <v>0.12897781948840023</v>
      </c>
      <c r="S104" s="2"/>
      <c r="T104" s="2">
        <f>--147285.39</f>
        <v>147285.39000000001</v>
      </c>
      <c r="U104" s="2"/>
      <c r="V104" s="19">
        <f t="shared" si="73"/>
        <v>9.7441726300401987E-2</v>
      </c>
      <c r="W104" s="2"/>
      <c r="X104" s="2">
        <f t="shared" si="74"/>
        <v>21177.969999999972</v>
      </c>
      <c r="Y104" s="2"/>
      <c r="Z104" s="19">
        <f t="shared" si="75"/>
        <v>0.14378866770152809</v>
      </c>
    </row>
    <row r="105" spans="1:26" s="24" customFormat="1" hidden="1" outlineLevel="1" x14ac:dyDescent="0.25">
      <c r="A105" s="44"/>
      <c r="B105" s="11" t="str">
        <f>CONCATENATE("          ", "9152", " - ", "MISC. INCOME")</f>
        <v xml:space="preserve">          9152 - MISC. INCOME</v>
      </c>
      <c r="C105" s="11"/>
      <c r="D105" s="2">
        <f>--935.08</f>
        <v>935.08</v>
      </c>
      <c r="E105" s="2"/>
      <c r="F105" s="19">
        <f t="shared" si="68"/>
        <v>3.9899872263060273E-3</v>
      </c>
      <c r="G105" s="2"/>
      <c r="H105" s="2">
        <f>--542.55</f>
        <v>542.54999999999995</v>
      </c>
      <c r="I105" s="2"/>
      <c r="J105" s="19">
        <f t="shared" si="69"/>
        <v>2.2856175613954035E-3</v>
      </c>
      <c r="K105" s="2"/>
      <c r="L105" s="2">
        <f t="shared" si="70"/>
        <v>392.53000000000009</v>
      </c>
      <c r="M105" s="2"/>
      <c r="N105" s="19">
        <f t="shared" si="71"/>
        <v>0.72349092249562275</v>
      </c>
      <c r="O105" s="11"/>
      <c r="P105" s="2">
        <f>--1938.11</f>
        <v>1938.11</v>
      </c>
      <c r="Q105" s="2"/>
      <c r="R105" s="19">
        <f t="shared" si="72"/>
        <v>1.4838431438661997E-3</v>
      </c>
      <c r="S105" s="2"/>
      <c r="T105" s="2">
        <f>--2088.94</f>
        <v>2088.94</v>
      </c>
      <c r="U105" s="2"/>
      <c r="V105" s="19">
        <f t="shared" si="73"/>
        <v>1.382010257351131E-3</v>
      </c>
      <c r="W105" s="2"/>
      <c r="X105" s="2">
        <f t="shared" si="74"/>
        <v>-150.83000000000015</v>
      </c>
      <c r="Y105" s="2"/>
      <c r="Z105" s="19">
        <f t="shared" si="75"/>
        <v>-7.2204084368148513E-2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5" t="s">
        <v>276</v>
      </c>
      <c r="C107" s="25"/>
      <c r="D107" s="21">
        <f>+D52-D54+D102</f>
        <v>125385.02999999993</v>
      </c>
      <c r="E107" s="13"/>
      <c r="F107" s="22">
        <f>IF(D$12=0,0,D107/D$12)</f>
        <v>0.53501803917311641</v>
      </c>
      <c r="G107" s="13"/>
      <c r="H107" s="21">
        <f>+H52-H54+H102</f>
        <v>197116.18</v>
      </c>
      <c r="I107" s="13"/>
      <c r="J107" s="22">
        <f>IF(H$12=0,0,H107/H$12)</f>
        <v>0.83039757191627939</v>
      </c>
      <c r="K107" s="16"/>
      <c r="L107" s="21">
        <f>+D107-H107</f>
        <v>-71731.150000000067</v>
      </c>
      <c r="M107" s="16"/>
      <c r="N107" s="22">
        <f>IF(H107=0,0,L107/H107)</f>
        <v>-0.36390290233911832</v>
      </c>
      <c r="O107" s="26"/>
      <c r="P107" s="21">
        <f>+P52-P54+P102</f>
        <v>276690.73999999982</v>
      </c>
      <c r="Q107" s="13"/>
      <c r="R107" s="22">
        <f>IF(P$12=0,0,P107/P$12)</f>
        <v>0.21183816064117361</v>
      </c>
      <c r="S107" s="13"/>
      <c r="T107" s="21">
        <f>+T52-T54+T102</f>
        <v>463496.7200000002</v>
      </c>
      <c r="U107" s="13"/>
      <c r="V107" s="22">
        <f>IF(T$12=0,0,T107/T$12)</f>
        <v>0.30664223064741231</v>
      </c>
      <c r="W107" s="16"/>
      <c r="X107" s="21">
        <f>+P107-T107</f>
        <v>-186805.98000000039</v>
      </c>
      <c r="Y107" s="16"/>
      <c r="Z107" s="22">
        <f>IF(T107=0,0,X107/T107)</f>
        <v>-0.40303625018101596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1"/>
      <c r="B109" s="10" t="s">
        <v>127</v>
      </c>
      <c r="C109" s="10"/>
      <c r="D109" s="4">
        <v>1508.39</v>
      </c>
      <c r="E109" s="4"/>
      <c r="F109" s="12">
        <f>IF(D$12=0,0,D109/D$12)</f>
        <v>6.4363015274497889E-3</v>
      </c>
      <c r="G109" s="4"/>
      <c r="H109" s="4">
        <v>64894.33</v>
      </c>
      <c r="I109" s="4"/>
      <c r="J109" s="12">
        <f>IF(H$12=0,0,H109/H$12)</f>
        <v>0.27338239845726398</v>
      </c>
      <c r="K109" s="4"/>
      <c r="L109" s="4">
        <f>+D109-H109</f>
        <v>-63385.94</v>
      </c>
      <c r="M109" s="4"/>
      <c r="N109" s="12">
        <f>IF(H109=0,0,L109/H109)</f>
        <v>-0.97675621275387237</v>
      </c>
      <c r="O109" s="10"/>
      <c r="P109" s="4">
        <v>161668.54999999999</v>
      </c>
      <c r="Q109" s="4"/>
      <c r="R109" s="12">
        <f>IF(P$12=0,0,P109/P$12)</f>
        <v>0.1237756213508469</v>
      </c>
      <c r="S109" s="4"/>
      <c r="T109" s="4">
        <v>280017.14</v>
      </c>
      <c r="U109" s="4"/>
      <c r="V109" s="12">
        <f>IF(T$12=0,0,T109/T$12)</f>
        <v>0.18525499043252927</v>
      </c>
      <c r="W109" s="4"/>
      <c r="X109" s="4">
        <f>+P109-T109</f>
        <v>-118348.59000000003</v>
      </c>
      <c r="Y109" s="4"/>
      <c r="Z109" s="12">
        <f>IF(T109=0,0,X109/T109)</f>
        <v>-0.42264766363944728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5" t="s">
        <v>125</v>
      </c>
      <c r="C111" s="25"/>
      <c r="D111" s="33">
        <f>+D107-D109</f>
        <v>123876.63999999993</v>
      </c>
      <c r="E111" s="13"/>
      <c r="F111" s="35">
        <f>IF(D$12=0,0,D111/D$12)</f>
        <v>0.52858173764566663</v>
      </c>
      <c r="G111" s="13"/>
      <c r="H111" s="33">
        <f>+H107-H109</f>
        <v>132221.84999999998</v>
      </c>
      <c r="I111" s="13"/>
      <c r="J111" s="35">
        <f>IF(H$12=0,0,H111/H$12)</f>
        <v>0.5570151734590153</v>
      </c>
      <c r="K111" s="16"/>
      <c r="L111" s="33">
        <f>D111-H111</f>
        <v>-8345.2100000000501</v>
      </c>
      <c r="M111" s="16"/>
      <c r="N111" s="35">
        <f>IF(H111=0,0,L111/H111)</f>
        <v>-6.3115211290721257E-2</v>
      </c>
      <c r="O111" s="26"/>
      <c r="P111" s="33">
        <f>+P107-P109</f>
        <v>115022.18999999983</v>
      </c>
      <c r="Q111" s="13"/>
      <c r="R111" s="35">
        <f>IF(P$12=0,0,P111/P$12)</f>
        <v>8.8062539290326716E-2</v>
      </c>
      <c r="S111" s="13"/>
      <c r="T111" s="33">
        <f>+T107-T109</f>
        <v>183479.58000000019</v>
      </c>
      <c r="U111" s="13"/>
      <c r="V111" s="35">
        <f>IF(T$12=0,0,T111/T$12)</f>
        <v>0.12138724021488301</v>
      </c>
      <c r="W111" s="16"/>
      <c r="X111" s="33">
        <f>P111-T111</f>
        <v>-68457.390000000363</v>
      </c>
      <c r="Y111" s="16"/>
      <c r="Z111" s="35">
        <f>IF(T111=0,0,X111/T111)</f>
        <v>-0.37310631515507225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5" t="s">
        <v>293</v>
      </c>
      <c r="C114" s="25"/>
      <c r="D114" s="31">
        <f>SUM(D111:D113)</f>
        <v>123876.63999999993</v>
      </c>
      <c r="E114" s="13"/>
      <c r="F114" s="32">
        <f>IF(D$12=0,0,D114/D$12)</f>
        <v>0.52858173764566663</v>
      </c>
      <c r="G114" s="13"/>
      <c r="H114" s="31">
        <f>SUM(H111:H113)</f>
        <v>132221.84999999998</v>
      </c>
      <c r="I114" s="13"/>
      <c r="J114" s="32">
        <f>IF(H$12=0,0,H114/H$12)</f>
        <v>0.5570151734590153</v>
      </c>
      <c r="K114" s="16"/>
      <c r="L114" s="31">
        <f>+D114-H114</f>
        <v>-8345.2100000000501</v>
      </c>
      <c r="M114" s="16"/>
      <c r="N114" s="32">
        <f>IF(H114=0,0,L114/H114)</f>
        <v>-6.3115211290721257E-2</v>
      </c>
      <c r="O114" s="26"/>
      <c r="P114" s="31">
        <f>SUM(P111:P113)</f>
        <v>115022.18999999983</v>
      </c>
      <c r="Q114" s="13"/>
      <c r="R114" s="32">
        <f>IF(P$12=0,0,P114/P$12)</f>
        <v>8.8062539290326716E-2</v>
      </c>
      <c r="S114" s="13"/>
      <c r="T114" s="31">
        <f>SUM(T111:T113)</f>
        <v>183479.58000000019</v>
      </c>
      <c r="U114" s="13"/>
      <c r="V114" s="32">
        <f>IF(T$12=0,0,T114/T$12)</f>
        <v>0.12138724021488301</v>
      </c>
      <c r="W114" s="16"/>
      <c r="X114" s="31">
        <f>+P114-T114</f>
        <v>-68457.390000000363</v>
      </c>
      <c r="Y114" s="16"/>
      <c r="Z114" s="32">
        <f>IF(T114=0,0,X114/T114)</f>
        <v>-0.37310631515507225</v>
      </c>
    </row>
    <row r="115" spans="1:26" ht="15.75" thickTop="1" x14ac:dyDescent="0.25">
      <c r="A115" s="9"/>
      <c r="C115" s="9"/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6" x14ac:dyDescent="0.25">
      <c r="A116" s="9"/>
      <c r="B116" s="58">
        <v>44481.985588657408</v>
      </c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6" x14ac:dyDescent="0.25">
      <c r="A117" s="9"/>
      <c r="B117" s="53" t="s">
        <v>56</v>
      </c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52"/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","311", " - ", "Textbooks")</f>
        <v>Department 311 - Textbooks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176741.79</v>
      </c>
      <c r="E12" s="4"/>
      <c r="F12" s="12"/>
      <c r="G12" s="4"/>
      <c r="H12" s="4">
        <f>SUM(OSRRefH13x_0)</f>
        <v>188990.74</v>
      </c>
      <c r="I12" s="4"/>
      <c r="J12" s="12"/>
      <c r="K12" s="4"/>
      <c r="L12" s="4">
        <f t="shared" ref="L12:L34" si="0">+D12-H12</f>
        <v>-12248.949999999983</v>
      </c>
      <c r="M12" s="4"/>
      <c r="N12" s="12">
        <f t="shared" ref="N12:N34" si="1">IF(H12=0,0,L12/H12)</f>
        <v>-6.4812434725637788E-2</v>
      </c>
      <c r="O12" s="10"/>
      <c r="P12" s="4">
        <f>SUM(OSRRefP13x_0)</f>
        <v>973372.69000000006</v>
      </c>
      <c r="Q12" s="4"/>
      <c r="R12" s="12"/>
      <c r="S12" s="4"/>
      <c r="T12" s="4">
        <f>SUM(OSRRefT13x_0)</f>
        <v>1043791.4</v>
      </c>
      <c r="U12" s="4"/>
      <c r="V12" s="12"/>
      <c r="W12" s="4"/>
      <c r="X12" s="4">
        <f t="shared" ref="X12:X34" si="2">+P12-T12</f>
        <v>-70418.709999999963</v>
      </c>
      <c r="Y12" s="4"/>
      <c r="Z12" s="12">
        <f t="shared" ref="Z12:Z34" si="3">IF(T12=0,0,X12/T12)</f>
        <v>-6.7464351593622976E-2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--143706.17</f>
        <v>143706.17000000001</v>
      </c>
      <c r="E13" s="2"/>
      <c r="F13" s="19"/>
      <c r="G13" s="2"/>
      <c r="H13" s="2">
        <f>-965.28</f>
        <v>-965.28</v>
      </c>
      <c r="I13" s="2"/>
      <c r="J13" s="19"/>
      <c r="K13" s="2"/>
      <c r="L13" s="2">
        <f t="shared" si="0"/>
        <v>144671.45000000001</v>
      </c>
      <c r="M13" s="2"/>
      <c r="N13" s="19">
        <f t="shared" si="1"/>
        <v>-149.87511395657219</v>
      </c>
      <c r="O13" s="11"/>
      <c r="P13" s="2">
        <f>--745935.25</f>
        <v>745935.25</v>
      </c>
      <c r="Q13" s="2"/>
      <c r="R13" s="19"/>
      <c r="S13" s="2"/>
      <c r="T13" s="2">
        <f>-4993.54</f>
        <v>-4993.54</v>
      </c>
      <c r="U13" s="2"/>
      <c r="V13" s="19"/>
      <c r="W13" s="2"/>
      <c r="X13" s="2">
        <f t="shared" si="2"/>
        <v>750928.79</v>
      </c>
      <c r="Y13" s="2"/>
      <c r="Z13" s="19">
        <f t="shared" si="3"/>
        <v>-150.38004902333816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20" si="4">0</f>
        <v>0</v>
      </c>
      <c r="E14" s="2"/>
      <c r="F14" s="19"/>
      <c r="G14" s="2"/>
      <c r="H14" s="2">
        <f>--86795.93</f>
        <v>86795.93</v>
      </c>
      <c r="I14" s="2"/>
      <c r="J14" s="19"/>
      <c r="K14" s="2"/>
      <c r="L14" s="2">
        <f t="shared" si="0"/>
        <v>-86795.93</v>
      </c>
      <c r="M14" s="2"/>
      <c r="N14" s="19">
        <f t="shared" si="1"/>
        <v>-1</v>
      </c>
      <c r="O14" s="11"/>
      <c r="P14" s="2">
        <f t="shared" ref="P14:P20" si="5">0</f>
        <v>0</v>
      </c>
      <c r="Q14" s="2"/>
      <c r="R14" s="19"/>
      <c r="S14" s="2"/>
      <c r="T14" s="2">
        <f>--523741.98</f>
        <v>523741.98</v>
      </c>
      <c r="U14" s="2"/>
      <c r="V14" s="19"/>
      <c r="W14" s="2"/>
      <c r="X14" s="2">
        <f t="shared" si="2"/>
        <v>-523741.98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--24307.89</f>
        <v>24307.89</v>
      </c>
      <c r="I15" s="2"/>
      <c r="J15" s="19"/>
      <c r="K15" s="2"/>
      <c r="L15" s="2">
        <f t="shared" si="0"/>
        <v>-24307.89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--184223.19</f>
        <v>184223.19</v>
      </c>
      <c r="U15" s="2"/>
      <c r="V15" s="19"/>
      <c r="W15" s="2"/>
      <c r="X15" s="2">
        <f t="shared" si="2"/>
        <v>-184223.19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--1539.79</f>
        <v>1539.79</v>
      </c>
      <c r="I16" s="2"/>
      <c r="J16" s="19"/>
      <c r="K16" s="2"/>
      <c r="L16" s="2">
        <f t="shared" si="0"/>
        <v>-1539.79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--10595.63</f>
        <v>10595.63</v>
      </c>
      <c r="U16" s="2"/>
      <c r="V16" s="19"/>
      <c r="W16" s="2"/>
      <c r="X16" s="2">
        <f t="shared" si="2"/>
        <v>-10595.63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--284.22</f>
        <v>284.22000000000003</v>
      </c>
      <c r="I17" s="2"/>
      <c r="J17" s="19"/>
      <c r="K17" s="2"/>
      <c r="L17" s="2">
        <f t="shared" si="0"/>
        <v>-284.22000000000003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--2105.11</f>
        <v>2105.11</v>
      </c>
      <c r="U17" s="2"/>
      <c r="V17" s="19"/>
      <c r="W17" s="2"/>
      <c r="X17" s="2">
        <f t="shared" si="2"/>
        <v>-2105.11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--39.9</f>
        <v>39.9</v>
      </c>
      <c r="U18" s="2"/>
      <c r="V18" s="19"/>
      <c r="W18" s="2"/>
      <c r="X18" s="2">
        <f t="shared" si="2"/>
        <v>-39.9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--97.51</f>
        <v>97.51</v>
      </c>
      <c r="I19" s="2"/>
      <c r="J19" s="19"/>
      <c r="K19" s="2"/>
      <c r="L19" s="2">
        <f t="shared" si="0"/>
        <v>-97.51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--304.44</f>
        <v>304.44</v>
      </c>
      <c r="U19" s="2"/>
      <c r="V19" s="19"/>
      <c r="W19" s="2"/>
      <c r="X19" s="2">
        <f t="shared" si="2"/>
        <v>-304.44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--48.87</f>
        <v>48.87</v>
      </c>
      <c r="I20" s="2"/>
      <c r="J20" s="19"/>
      <c r="K20" s="2"/>
      <c r="L20" s="2">
        <f t="shared" si="0"/>
        <v>-48.87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--46906.46</f>
        <v>46906.46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46906.46</v>
      </c>
      <c r="M21" s="2"/>
      <c r="N21" s="19">
        <f t="shared" si="1"/>
        <v>0</v>
      </c>
      <c r="O21" s="11"/>
      <c r="P21" s="2">
        <f>--270889.78</f>
        <v>270889.78000000003</v>
      </c>
      <c r="Q21" s="2"/>
      <c r="R21" s="19"/>
      <c r="S21" s="2"/>
      <c r="T21" s="2">
        <f>0</f>
        <v>0</v>
      </c>
      <c r="U21" s="2"/>
      <c r="V21" s="19"/>
      <c r="W21" s="2"/>
      <c r="X21" s="2">
        <f t="shared" si="2"/>
        <v>270889.78000000003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 t="shared" ref="D22:D26" si="6">0</f>
        <v>0</v>
      </c>
      <c r="E22" s="2"/>
      <c r="F22" s="19"/>
      <c r="G22" s="2"/>
      <c r="H22" s="2">
        <f>--18824.16</f>
        <v>18824.16</v>
      </c>
      <c r="I22" s="2"/>
      <c r="J22" s="19"/>
      <c r="K22" s="2"/>
      <c r="L22" s="2">
        <f t="shared" si="0"/>
        <v>-18824.16</v>
      </c>
      <c r="M22" s="2"/>
      <c r="N22" s="19">
        <f t="shared" si="1"/>
        <v>-1</v>
      </c>
      <c r="O22" s="11"/>
      <c r="P22" s="2">
        <f t="shared" ref="P22:P26" si="7">0</f>
        <v>0</v>
      </c>
      <c r="Q22" s="2"/>
      <c r="R22" s="19"/>
      <c r="S22" s="2"/>
      <c r="T22" s="2">
        <f>--70404.84</f>
        <v>70404.84</v>
      </c>
      <c r="U22" s="2"/>
      <c r="V22" s="19"/>
      <c r="W22" s="2"/>
      <c r="X22" s="2">
        <f t="shared" si="2"/>
        <v>-70404.84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 t="shared" si="6"/>
        <v>0</v>
      </c>
      <c r="E23" s="2"/>
      <c r="F23" s="19"/>
      <c r="G23" s="2"/>
      <c r="H23" s="2">
        <f>--8807.08</f>
        <v>8807.08</v>
      </c>
      <c r="I23" s="2"/>
      <c r="J23" s="19"/>
      <c r="K23" s="2"/>
      <c r="L23" s="2">
        <f t="shared" si="0"/>
        <v>-8807.08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--30370.82</f>
        <v>30370.82</v>
      </c>
      <c r="U23" s="2"/>
      <c r="V23" s="19"/>
      <c r="W23" s="2"/>
      <c r="X23" s="2">
        <f t="shared" si="2"/>
        <v>-30370.82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 t="shared" si="6"/>
        <v>0</v>
      </c>
      <c r="E24" s="2"/>
      <c r="F24" s="19"/>
      <c r="G24" s="2"/>
      <c r="H24" s="2">
        <f>--284.97</f>
        <v>284.97000000000003</v>
      </c>
      <c r="I24" s="2"/>
      <c r="J24" s="19"/>
      <c r="K24" s="2"/>
      <c r="L24" s="2">
        <f t="shared" si="0"/>
        <v>-284.97000000000003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--284.97</f>
        <v>284.97000000000003</v>
      </c>
      <c r="U24" s="2"/>
      <c r="V24" s="19"/>
      <c r="W24" s="2"/>
      <c r="X24" s="2">
        <f t="shared" si="2"/>
        <v>-284.97000000000003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 t="shared" si="6"/>
        <v>0</v>
      </c>
      <c r="E25" s="2"/>
      <c r="F25" s="19"/>
      <c r="G25" s="2"/>
      <c r="H25" s="2">
        <f>--73817.67</f>
        <v>73817.67</v>
      </c>
      <c r="I25" s="2"/>
      <c r="J25" s="19"/>
      <c r="K25" s="2"/>
      <c r="L25" s="2">
        <f t="shared" si="0"/>
        <v>-73817.67</v>
      </c>
      <c r="M25" s="2"/>
      <c r="N25" s="19">
        <f t="shared" si="1"/>
        <v>-1</v>
      </c>
      <c r="O25" s="11"/>
      <c r="P25" s="2">
        <f t="shared" si="7"/>
        <v>0</v>
      </c>
      <c r="Q25" s="2"/>
      <c r="R25" s="19"/>
      <c r="S25" s="2"/>
      <c r="T25" s="2">
        <f>--286707.85</f>
        <v>286707.84999999998</v>
      </c>
      <c r="U25" s="2"/>
      <c r="V25" s="19"/>
      <c r="W25" s="2"/>
      <c r="X25" s="2">
        <f t="shared" si="2"/>
        <v>-286707.84999999998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"4118", " - ", "NON-TAXABLE SALES-STUDY GUIDES")</f>
        <v xml:space="preserve">          4118 - NON-TAXABLE SALES-STUDY GUIDES</v>
      </c>
      <c r="C26" s="11"/>
      <c r="D26" s="2">
        <f t="shared" si="6"/>
        <v>0</v>
      </c>
      <c r="E26" s="2"/>
      <c r="F26" s="19"/>
      <c r="G26" s="2"/>
      <c r="H26" s="2">
        <f>--6.5</f>
        <v>6.5</v>
      </c>
      <c r="I26" s="2"/>
      <c r="J26" s="19"/>
      <c r="K26" s="2"/>
      <c r="L26" s="2">
        <f t="shared" si="0"/>
        <v>-6.5</v>
      </c>
      <c r="M26" s="2"/>
      <c r="N26" s="19">
        <f t="shared" si="1"/>
        <v>-1</v>
      </c>
      <c r="O26" s="11"/>
      <c r="P26" s="2">
        <f t="shared" si="7"/>
        <v>0</v>
      </c>
      <c r="Q26" s="2"/>
      <c r="R26" s="19"/>
      <c r="S26" s="2"/>
      <c r="T26" s="2">
        <f>--108.33</f>
        <v>108.33</v>
      </c>
      <c r="U26" s="2"/>
      <c r="V26" s="19"/>
      <c r="W26" s="2"/>
      <c r="X26" s="2">
        <f t="shared" si="2"/>
        <v>-108.33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"4200", " - ", "TAXABLE RETURNS")</f>
        <v xml:space="preserve">          4200 - TAXABLE RETURNS</v>
      </c>
      <c r="C27" s="11"/>
      <c r="D27" s="2">
        <f>-11496.04</f>
        <v>-11496.04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-11496.04</v>
      </c>
      <c r="M27" s="2"/>
      <c r="N27" s="19">
        <f t="shared" si="1"/>
        <v>0</v>
      </c>
      <c r="O27" s="11"/>
      <c r="P27" s="2">
        <f>-23905.08</f>
        <v>-23905.08</v>
      </c>
      <c r="Q27" s="2"/>
      <c r="R27" s="19"/>
      <c r="S27" s="2"/>
      <c r="T27" s="2">
        <f>0</f>
        <v>0</v>
      </c>
      <c r="U27" s="2"/>
      <c r="V27" s="19"/>
      <c r="W27" s="2"/>
      <c r="X27" s="2">
        <f t="shared" si="2"/>
        <v>-23905.08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 t="shared" ref="D28:D30" si="8">0</f>
        <v>0</v>
      </c>
      <c r="E28" s="2"/>
      <c r="F28" s="19"/>
      <c r="G28" s="2"/>
      <c r="H28" s="2">
        <f>-13393.2</f>
        <v>-13393.2</v>
      </c>
      <c r="I28" s="2"/>
      <c r="J28" s="19"/>
      <c r="K28" s="2"/>
      <c r="L28" s="2">
        <f t="shared" si="0"/>
        <v>13393.2</v>
      </c>
      <c r="M28" s="2"/>
      <c r="N28" s="19">
        <f t="shared" si="1"/>
        <v>-1</v>
      </c>
      <c r="O28" s="11"/>
      <c r="P28" s="2">
        <f t="shared" ref="P28:P30" si="9">0</f>
        <v>0</v>
      </c>
      <c r="Q28" s="2"/>
      <c r="R28" s="19"/>
      <c r="S28" s="2"/>
      <c r="T28" s="2">
        <f>-32248.99</f>
        <v>-32248.99</v>
      </c>
      <c r="U28" s="2"/>
      <c r="V28" s="19"/>
      <c r="W28" s="2"/>
      <c r="X28" s="2">
        <f t="shared" si="2"/>
        <v>32248.99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 t="shared" si="8"/>
        <v>0</v>
      </c>
      <c r="E29" s="2"/>
      <c r="F29" s="19"/>
      <c r="G29" s="2"/>
      <c r="H29" s="2">
        <f>-1345.2</f>
        <v>-1345.2</v>
      </c>
      <c r="I29" s="2"/>
      <c r="J29" s="19"/>
      <c r="K29" s="2"/>
      <c r="L29" s="2">
        <f t="shared" si="0"/>
        <v>1345.2</v>
      </c>
      <c r="M29" s="2"/>
      <c r="N29" s="19">
        <f t="shared" si="1"/>
        <v>-1</v>
      </c>
      <c r="O29" s="11"/>
      <c r="P29" s="2">
        <f t="shared" si="9"/>
        <v>0</v>
      </c>
      <c r="Q29" s="2"/>
      <c r="R29" s="19"/>
      <c r="S29" s="2"/>
      <c r="T29" s="2">
        <f>-10392.95</f>
        <v>-10392.950000000001</v>
      </c>
      <c r="U29" s="2"/>
      <c r="V29" s="19"/>
      <c r="W29" s="2"/>
      <c r="X29" s="2">
        <f t="shared" si="2"/>
        <v>10392.950000000001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"4204", " - ", "SALES RETURN TAXABLE-DIGITAL T")</f>
        <v xml:space="preserve">          4204 - SALES RETURN TAXABLE-DIGITAL T</v>
      </c>
      <c r="C30" s="11"/>
      <c r="D30" s="2">
        <f t="shared" si="8"/>
        <v>0</v>
      </c>
      <c r="E30" s="2"/>
      <c r="F30" s="19"/>
      <c r="G30" s="2"/>
      <c r="H30" s="2">
        <f>-105.87</f>
        <v>-105.87</v>
      </c>
      <c r="I30" s="2"/>
      <c r="J30" s="19"/>
      <c r="K30" s="2"/>
      <c r="L30" s="2">
        <f t="shared" si="0"/>
        <v>105.87</v>
      </c>
      <c r="M30" s="2"/>
      <c r="N30" s="19">
        <f t="shared" si="1"/>
        <v>-1</v>
      </c>
      <c r="O30" s="11"/>
      <c r="P30" s="2">
        <f t="shared" si="9"/>
        <v>0</v>
      </c>
      <c r="Q30" s="2"/>
      <c r="R30" s="19"/>
      <c r="S30" s="2"/>
      <c r="T30" s="2">
        <f>-1246.95</f>
        <v>-1246.95</v>
      </c>
      <c r="U30" s="2"/>
      <c r="V30" s="19"/>
      <c r="W30" s="2"/>
      <c r="X30" s="2">
        <f t="shared" si="2"/>
        <v>1246.95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"4300", " - ", "NON-TAX RETURNS")</f>
        <v xml:space="preserve">          4300 - NON-TAX RETURNS</v>
      </c>
      <c r="C31" s="11"/>
      <c r="D31" s="2">
        <f>-2374.8</f>
        <v>-2374.8000000000002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-2374.8000000000002</v>
      </c>
      <c r="M31" s="2"/>
      <c r="N31" s="19">
        <f t="shared" si="1"/>
        <v>0</v>
      </c>
      <c r="O31" s="11"/>
      <c r="P31" s="2">
        <f>-19547.26</f>
        <v>-19547.259999999998</v>
      </c>
      <c r="Q31" s="2"/>
      <c r="R31" s="19"/>
      <c r="S31" s="2"/>
      <c r="T31" s="2">
        <f>0</f>
        <v>0</v>
      </c>
      <c r="U31" s="2"/>
      <c r="V31" s="19"/>
      <c r="W31" s="2"/>
      <c r="X31" s="2">
        <f t="shared" si="2"/>
        <v>-19547.259999999998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"4301", " - ", "SALES RETURN NON TAXABLE-NEW T")</f>
        <v xml:space="preserve">          4301 - SALES RETURN NON TAXABLE-NEW T</v>
      </c>
      <c r="C32" s="11"/>
      <c r="D32" s="2">
        <f t="shared" ref="D32:D34" si="10">0</f>
        <v>0</v>
      </c>
      <c r="E32" s="2"/>
      <c r="F32" s="19"/>
      <c r="G32" s="2"/>
      <c r="H32" s="2">
        <f>-1820.43</f>
        <v>-1820.43</v>
      </c>
      <c r="I32" s="2"/>
      <c r="J32" s="19"/>
      <c r="K32" s="2"/>
      <c r="L32" s="2">
        <f t="shared" si="0"/>
        <v>1820.43</v>
      </c>
      <c r="M32" s="2"/>
      <c r="N32" s="19">
        <f t="shared" si="1"/>
        <v>-1</v>
      </c>
      <c r="O32" s="11"/>
      <c r="P32" s="2">
        <f t="shared" ref="P32:P34" si="11">0</f>
        <v>0</v>
      </c>
      <c r="Q32" s="2"/>
      <c r="R32" s="19"/>
      <c r="S32" s="2"/>
      <c r="T32" s="2">
        <f>-1840.68</f>
        <v>-1840.68</v>
      </c>
      <c r="U32" s="2"/>
      <c r="V32" s="19"/>
      <c r="W32" s="2"/>
      <c r="X32" s="2">
        <f t="shared" si="2"/>
        <v>1840.68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"4302", " - ", "SALES RETURN NON TAXABLE-TEXT")</f>
        <v xml:space="preserve">          4302 - SALES RETURN NON TAXABLE-TEXT</v>
      </c>
      <c r="C33" s="11"/>
      <c r="D33" s="2">
        <f t="shared" si="10"/>
        <v>0</v>
      </c>
      <c r="E33" s="2"/>
      <c r="F33" s="19"/>
      <c r="G33" s="2"/>
      <c r="H33" s="2">
        <f>-737.24</f>
        <v>-737.24</v>
      </c>
      <c r="I33" s="2"/>
      <c r="J33" s="19"/>
      <c r="K33" s="2"/>
      <c r="L33" s="2">
        <f t="shared" si="0"/>
        <v>737.24</v>
      </c>
      <c r="M33" s="2"/>
      <c r="N33" s="19">
        <f t="shared" si="1"/>
        <v>-1</v>
      </c>
      <c r="O33" s="11"/>
      <c r="P33" s="2">
        <f t="shared" si="11"/>
        <v>0</v>
      </c>
      <c r="Q33" s="2"/>
      <c r="R33" s="19"/>
      <c r="S33" s="2"/>
      <c r="T33" s="2">
        <f>-1147.08</f>
        <v>-1147.08</v>
      </c>
      <c r="U33" s="2"/>
      <c r="V33" s="19"/>
      <c r="W33" s="2"/>
      <c r="X33" s="2">
        <f t="shared" si="2"/>
        <v>1147.08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"4304", " - ", "SALES RETURN NON TAXABLE-DIGIT")</f>
        <v xml:space="preserve">          4304 - SALES RETURN NON TAXABLE-DIGIT</v>
      </c>
      <c r="C34" s="11"/>
      <c r="D34" s="2">
        <f t="shared" si="10"/>
        <v>0</v>
      </c>
      <c r="E34" s="2"/>
      <c r="F34" s="19"/>
      <c r="G34" s="2"/>
      <c r="H34" s="2">
        <f>-7456.63</f>
        <v>-7456.63</v>
      </c>
      <c r="I34" s="2"/>
      <c r="J34" s="19"/>
      <c r="K34" s="2"/>
      <c r="L34" s="2">
        <f t="shared" si="0"/>
        <v>7456.63</v>
      </c>
      <c r="M34" s="2"/>
      <c r="N34" s="19">
        <f t="shared" si="1"/>
        <v>-1</v>
      </c>
      <c r="O34" s="11"/>
      <c r="P34" s="2">
        <f t="shared" si="11"/>
        <v>0</v>
      </c>
      <c r="Q34" s="2"/>
      <c r="R34" s="19"/>
      <c r="S34" s="2"/>
      <c r="T34" s="2">
        <f>-13409.36</f>
        <v>-13409.36</v>
      </c>
      <c r="U34" s="2"/>
      <c r="V34" s="19"/>
      <c r="W34" s="2"/>
      <c r="X34" s="2">
        <f t="shared" si="2"/>
        <v>13409.36</v>
      </c>
      <c r="Y34" s="2"/>
      <c r="Z34" s="19">
        <f t="shared" si="3"/>
        <v>-1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6" t="s">
        <v>256</v>
      </c>
      <c r="C36" s="10"/>
      <c r="D36" s="4">
        <f>SUM(OSRRefD16x_0)</f>
        <v>179347.67000000007</v>
      </c>
      <c r="E36" s="4"/>
      <c r="F36" s="12">
        <f t="shared" ref="F36:F50" si="12">IF(D$12=0,0,D36/D$12)</f>
        <v>1.0147439946149694</v>
      </c>
      <c r="G36" s="4"/>
      <c r="H36" s="4">
        <f>SUM(OSRRefH16x_0)</f>
        <v>130513.00000000003</v>
      </c>
      <c r="I36" s="4"/>
      <c r="J36" s="12">
        <f t="shared" ref="J36:J50" si="13">IF(H$12=0,0,H36/H$12)</f>
        <v>0.690578808252722</v>
      </c>
      <c r="K36" s="4"/>
      <c r="L36" s="4">
        <f t="shared" ref="L36:L50" si="14">+D36-H36</f>
        <v>48834.670000000042</v>
      </c>
      <c r="M36" s="4"/>
      <c r="N36" s="12">
        <f t="shared" ref="N36:N50" si="15">IF(H36=0,0,L36/H36)</f>
        <v>0.37417475653766313</v>
      </c>
      <c r="O36" s="10"/>
      <c r="P36" s="4">
        <f>SUM(OSRRefP16x_0)</f>
        <v>821540.24</v>
      </c>
      <c r="Q36" s="4"/>
      <c r="R36" s="12">
        <f t="shared" ref="R36:R50" si="16">IF(P$12=0,0,P36/P$12)</f>
        <v>0.84401406412994795</v>
      </c>
      <c r="S36" s="4"/>
      <c r="T36" s="4">
        <f>SUM(OSRRefT16x_0)</f>
        <v>737968.99999999977</v>
      </c>
      <c r="U36" s="4"/>
      <c r="V36" s="12">
        <f t="shared" ref="V36:V50" si="17">IF(T$12=0,0,T36/T$12)</f>
        <v>0.70700812442026228</v>
      </c>
      <c r="W36" s="4"/>
      <c r="X36" s="4">
        <f t="shared" ref="X36:X50" si="18">+P36-T36</f>
        <v>83571.240000000224</v>
      </c>
      <c r="Y36" s="4"/>
      <c r="Z36" s="12">
        <f t="shared" ref="Z36:Z50" si="19">IF(T36=0,0,X36/T36)</f>
        <v>0.11324491950203905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>
        <v>534505.79</v>
      </c>
      <c r="E37" s="2"/>
      <c r="F37" s="19">
        <f t="shared" si="12"/>
        <v>3.0242184941094012</v>
      </c>
      <c r="G37" s="2"/>
      <c r="H37" s="2">
        <v>0</v>
      </c>
      <c r="I37" s="2"/>
      <c r="J37" s="19">
        <f t="shared" si="13"/>
        <v>0</v>
      </c>
      <c r="K37" s="2"/>
      <c r="L37" s="2">
        <f t="shared" si="14"/>
        <v>534505.79</v>
      </c>
      <c r="M37" s="2"/>
      <c r="N37" s="19">
        <f t="shared" si="15"/>
        <v>0</v>
      </c>
      <c r="O37" s="11"/>
      <c r="P37" s="2">
        <v>1016546.84</v>
      </c>
      <c r="Q37" s="2"/>
      <c r="R37" s="19">
        <f t="shared" si="16"/>
        <v>1.0443552099247821</v>
      </c>
      <c r="S37" s="2"/>
      <c r="T37" s="2">
        <v>0</v>
      </c>
      <c r="U37" s="2"/>
      <c r="V37" s="19">
        <f t="shared" si="17"/>
        <v>0</v>
      </c>
      <c r="W37" s="2"/>
      <c r="X37" s="2">
        <f t="shared" si="18"/>
        <v>1016546.84</v>
      </c>
      <c r="Y37" s="2"/>
      <c r="Z37" s="19">
        <f t="shared" si="19"/>
        <v>0</v>
      </c>
    </row>
    <row r="38" spans="1:26" s="24" customFormat="1" hidden="1" outlineLevel="1" x14ac:dyDescent="0.25">
      <c r="A38" s="44"/>
      <c r="B38" s="11" t="str">
        <f>CONCATENATE("          ", "5001", " - ", "PURCHASES @ COST-NEW TEXT")</f>
        <v xml:space="preserve">          5001 - PURCHASES @ COST-NEW TEXT</v>
      </c>
      <c r="C38" s="11"/>
      <c r="D38" s="2">
        <v>0</v>
      </c>
      <c r="E38" s="2"/>
      <c r="F38" s="19">
        <f t="shared" si="12"/>
        <v>0</v>
      </c>
      <c r="G38" s="2"/>
      <c r="H38" s="2">
        <v>575285.49</v>
      </c>
      <c r="I38" s="2"/>
      <c r="J38" s="19">
        <f t="shared" si="13"/>
        <v>3.0439877107206419</v>
      </c>
      <c r="K38" s="2"/>
      <c r="L38" s="2">
        <f t="shared" si="14"/>
        <v>-575285.49</v>
      </c>
      <c r="M38" s="2"/>
      <c r="N38" s="19">
        <f t="shared" si="15"/>
        <v>-1</v>
      </c>
      <c r="O38" s="11"/>
      <c r="P38" s="2">
        <v>0</v>
      </c>
      <c r="Q38" s="2"/>
      <c r="R38" s="19">
        <f t="shared" si="16"/>
        <v>0</v>
      </c>
      <c r="S38" s="2"/>
      <c r="T38" s="2">
        <v>1090229.3999999999</v>
      </c>
      <c r="U38" s="2"/>
      <c r="V38" s="19">
        <f t="shared" si="17"/>
        <v>1.0444897323354072</v>
      </c>
      <c r="W38" s="2"/>
      <c r="X38" s="2">
        <f t="shared" si="18"/>
        <v>-1090229.3999999999</v>
      </c>
      <c r="Y38" s="2"/>
      <c r="Z38" s="19">
        <f t="shared" si="19"/>
        <v>-1</v>
      </c>
    </row>
    <row r="39" spans="1:26" s="24" customFormat="1" hidden="1" outlineLevel="1" x14ac:dyDescent="0.25">
      <c r="A39" s="44"/>
      <c r="B39" s="11" t="str">
        <f>CONCATENATE("          ", "5002", " - ", "PURCHASES @ COST-USED TEXT")</f>
        <v xml:space="preserve">          5002 - PURCHASES @ COST-USED TEXT</v>
      </c>
      <c r="C39" s="11"/>
      <c r="D39" s="2">
        <v>0</v>
      </c>
      <c r="E39" s="2"/>
      <c r="F39" s="19">
        <f t="shared" si="12"/>
        <v>0</v>
      </c>
      <c r="G39" s="2"/>
      <c r="H39" s="2">
        <v>108363.86</v>
      </c>
      <c r="I39" s="2"/>
      <c r="J39" s="19">
        <f t="shared" si="13"/>
        <v>0.57338184929060554</v>
      </c>
      <c r="K39" s="2"/>
      <c r="L39" s="2">
        <f t="shared" si="14"/>
        <v>-108363.86</v>
      </c>
      <c r="M39" s="2"/>
      <c r="N39" s="19">
        <f t="shared" si="15"/>
        <v>-1</v>
      </c>
      <c r="O39" s="11"/>
      <c r="P39" s="2">
        <v>0</v>
      </c>
      <c r="Q39" s="2"/>
      <c r="R39" s="19">
        <f t="shared" si="16"/>
        <v>0</v>
      </c>
      <c r="S39" s="2"/>
      <c r="T39" s="2">
        <v>157396.9</v>
      </c>
      <c r="U39" s="2"/>
      <c r="V39" s="19">
        <f t="shared" si="17"/>
        <v>0.15079344397740774</v>
      </c>
      <c r="W39" s="2"/>
      <c r="X39" s="2">
        <f t="shared" si="18"/>
        <v>-157396.9</v>
      </c>
      <c r="Y39" s="2"/>
      <c r="Z39" s="19">
        <f t="shared" si="19"/>
        <v>-1</v>
      </c>
    </row>
    <row r="40" spans="1:26" s="24" customFormat="1" hidden="1" outlineLevel="1" x14ac:dyDescent="0.25">
      <c r="A40" s="44"/>
      <c r="B40" s="11" t="str">
        <f>CONCATENATE("          ", "5003", " - ", "PURCHASES @ COST-RENTAL TEXT")</f>
        <v xml:space="preserve">          5003 - PURCHASES @ COST-RENTAL TEXT</v>
      </c>
      <c r="C40" s="11"/>
      <c r="D40" s="2"/>
      <c r="E40" s="2"/>
      <c r="F40" s="19">
        <f t="shared" si="12"/>
        <v>0</v>
      </c>
      <c r="G40" s="2"/>
      <c r="H40" s="2">
        <v>781.74</v>
      </c>
      <c r="I40" s="2"/>
      <c r="J40" s="19">
        <f t="shared" si="13"/>
        <v>4.1363931375685394E-3</v>
      </c>
      <c r="K40" s="2"/>
      <c r="L40" s="2">
        <f t="shared" si="14"/>
        <v>-781.74</v>
      </c>
      <c r="M40" s="2"/>
      <c r="N40" s="19">
        <f t="shared" si="15"/>
        <v>-1</v>
      </c>
      <c r="O40" s="11"/>
      <c r="P40" s="2"/>
      <c r="Q40" s="2"/>
      <c r="R40" s="19">
        <f t="shared" si="16"/>
        <v>0</v>
      </c>
      <c r="S40" s="2"/>
      <c r="T40" s="2">
        <v>-11086.1</v>
      </c>
      <c r="U40" s="2"/>
      <c r="V40" s="19">
        <f t="shared" si="17"/>
        <v>-1.062099189550709E-2</v>
      </c>
      <c r="W40" s="2"/>
      <c r="X40" s="2">
        <f t="shared" si="18"/>
        <v>11086.1</v>
      </c>
      <c r="Y40" s="2"/>
      <c r="Z40" s="19">
        <f t="shared" si="19"/>
        <v>-1</v>
      </c>
    </row>
    <row r="41" spans="1:26" s="24" customFormat="1" hidden="1" outlineLevel="1" x14ac:dyDescent="0.25">
      <c r="A41" s="44"/>
      <c r="B41" s="11" t="str">
        <f>CONCATENATE("          ", "5004", " - ", "PURCHASES @ COST-DIGITAL TEXT")</f>
        <v xml:space="preserve">          5004 - PURCHASES @ COST-DIGITAL TEXT</v>
      </c>
      <c r="C41" s="11"/>
      <c r="D41" s="2">
        <v>0</v>
      </c>
      <c r="E41" s="2"/>
      <c r="F41" s="19">
        <f t="shared" si="12"/>
        <v>0</v>
      </c>
      <c r="G41" s="2"/>
      <c r="H41" s="2">
        <v>60186.1</v>
      </c>
      <c r="I41" s="2"/>
      <c r="J41" s="19">
        <f t="shared" si="13"/>
        <v>0.31846057642824194</v>
      </c>
      <c r="K41" s="2"/>
      <c r="L41" s="2">
        <f t="shared" si="14"/>
        <v>-60186.1</v>
      </c>
      <c r="M41" s="2"/>
      <c r="N41" s="19">
        <f t="shared" si="15"/>
        <v>-1</v>
      </c>
      <c r="O41" s="11"/>
      <c r="P41" s="2">
        <v>0</v>
      </c>
      <c r="Q41" s="2"/>
      <c r="R41" s="19">
        <f t="shared" si="16"/>
        <v>0</v>
      </c>
      <c r="S41" s="2"/>
      <c r="T41" s="2">
        <v>182616.07</v>
      </c>
      <c r="U41" s="2"/>
      <c r="V41" s="19">
        <f t="shared" si="17"/>
        <v>0.17495456467642864</v>
      </c>
      <c r="W41" s="2"/>
      <c r="X41" s="2">
        <f t="shared" si="18"/>
        <v>-182616.07</v>
      </c>
      <c r="Y41" s="2"/>
      <c r="Z41" s="19">
        <f t="shared" si="19"/>
        <v>-1</v>
      </c>
    </row>
    <row r="42" spans="1:26" s="24" customFormat="1" hidden="1" outlineLevel="1" x14ac:dyDescent="0.25">
      <c r="A42" s="44"/>
      <c r="B42" s="11" t="str">
        <f>CONCATENATE("          ", "5013", " - ", "PURCHASES @ COST-TRADE BOOKS")</f>
        <v xml:space="preserve">          5013 - PURCHASES @ COST-TRADE BOOKS</v>
      </c>
      <c r="C42" s="11"/>
      <c r="D42" s="2"/>
      <c r="E42" s="2"/>
      <c r="F42" s="19">
        <f t="shared" si="12"/>
        <v>0</v>
      </c>
      <c r="G42" s="2"/>
      <c r="H42" s="2">
        <v>-9.36</v>
      </c>
      <c r="I42" s="2"/>
      <c r="J42" s="19">
        <f t="shared" si="13"/>
        <v>-4.9526236047332268E-5</v>
      </c>
      <c r="K42" s="2"/>
      <c r="L42" s="2">
        <f t="shared" si="14"/>
        <v>9.36</v>
      </c>
      <c r="M42" s="2"/>
      <c r="N42" s="19">
        <f t="shared" si="15"/>
        <v>-1</v>
      </c>
      <c r="O42" s="11"/>
      <c r="P42" s="2"/>
      <c r="Q42" s="2"/>
      <c r="R42" s="19">
        <f t="shared" si="16"/>
        <v>0</v>
      </c>
      <c r="S42" s="2"/>
      <c r="T42" s="2">
        <v>99.18</v>
      </c>
      <c r="U42" s="2"/>
      <c r="V42" s="19">
        <f t="shared" si="17"/>
        <v>9.5018985594248051E-5</v>
      </c>
      <c r="W42" s="2"/>
      <c r="X42" s="2">
        <f t="shared" si="18"/>
        <v>-99.18</v>
      </c>
      <c r="Y42" s="2"/>
      <c r="Z42" s="19">
        <f t="shared" si="19"/>
        <v>-1</v>
      </c>
    </row>
    <row r="43" spans="1:26" s="24" customFormat="1" hidden="1" outlineLevel="1" x14ac:dyDescent="0.25">
      <c r="A43" s="44"/>
      <c r="B43" s="11" t="str">
        <f>CONCATENATE("          ", "5014", " - ", "PURCHASES @ COST-REMAINDERS")</f>
        <v xml:space="preserve">          5014 - PURCHASES @ COST-REMAINDERS</v>
      </c>
      <c r="C43" s="11"/>
      <c r="D43" s="2"/>
      <c r="E43" s="2"/>
      <c r="F43" s="19">
        <f t="shared" si="12"/>
        <v>0</v>
      </c>
      <c r="G43" s="2"/>
      <c r="H43" s="2"/>
      <c r="I43" s="2"/>
      <c r="J43" s="19">
        <f t="shared" si="13"/>
        <v>0</v>
      </c>
      <c r="K43" s="2"/>
      <c r="L43" s="2">
        <f t="shared" si="14"/>
        <v>0</v>
      </c>
      <c r="M43" s="2"/>
      <c r="N43" s="19">
        <f t="shared" si="15"/>
        <v>0</v>
      </c>
      <c r="O43" s="11"/>
      <c r="P43" s="2"/>
      <c r="Q43" s="2"/>
      <c r="R43" s="19">
        <f t="shared" si="16"/>
        <v>0</v>
      </c>
      <c r="S43" s="2"/>
      <c r="T43" s="2">
        <v>-12.51</v>
      </c>
      <c r="U43" s="2"/>
      <c r="V43" s="19">
        <f t="shared" si="17"/>
        <v>-1.1985153355354336E-5</v>
      </c>
      <c r="W43" s="2"/>
      <c r="X43" s="2">
        <f t="shared" si="18"/>
        <v>12.51</v>
      </c>
      <c r="Y43" s="2"/>
      <c r="Z43" s="19">
        <f t="shared" si="19"/>
        <v>-1</v>
      </c>
    </row>
    <row r="44" spans="1:26" s="24" customFormat="1" hidden="1" outlineLevel="1" x14ac:dyDescent="0.2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-548708.86</v>
      </c>
      <c r="E44" s="2"/>
      <c r="F44" s="19">
        <f t="shared" si="12"/>
        <v>-3.1045790585237367</v>
      </c>
      <c r="G44" s="2"/>
      <c r="H44" s="2">
        <v>-757174.69</v>
      </c>
      <c r="I44" s="2"/>
      <c r="J44" s="19">
        <f t="shared" si="13"/>
        <v>-4.0064115839749608</v>
      </c>
      <c r="K44" s="2"/>
      <c r="L44" s="2">
        <f t="shared" si="14"/>
        <v>208465.82999999996</v>
      </c>
      <c r="M44" s="2"/>
      <c r="N44" s="19">
        <f t="shared" si="15"/>
        <v>-0.27532065288658814</v>
      </c>
      <c r="O44" s="11"/>
      <c r="P44" s="2">
        <v>-1036371.64</v>
      </c>
      <c r="Q44" s="2"/>
      <c r="R44" s="19">
        <f t="shared" si="16"/>
        <v>-1.0647223315870922</v>
      </c>
      <c r="S44" s="2"/>
      <c r="T44" s="2">
        <v>-1438527.63</v>
      </c>
      <c r="U44" s="2"/>
      <c r="V44" s="19">
        <f t="shared" si="17"/>
        <v>-1.3781753997973156</v>
      </c>
      <c r="W44" s="2"/>
      <c r="X44" s="2">
        <f t="shared" si="18"/>
        <v>402155.98999999987</v>
      </c>
      <c r="Y44" s="2"/>
      <c r="Z44" s="19">
        <f t="shared" si="19"/>
        <v>-0.27956083818841904</v>
      </c>
    </row>
    <row r="45" spans="1:26" s="24" customFormat="1" hidden="1" outlineLevel="1" x14ac:dyDescent="0.25">
      <c r="A45" s="44"/>
      <c r="B45" s="11" t="str">
        <f>CONCATENATE("          ", "5300", " - ", "COG$ OFFSET")</f>
        <v xml:space="preserve">          5300 - COG$ OFFSET</v>
      </c>
      <c r="C45" s="11"/>
      <c r="D45" s="2">
        <v>179347.67</v>
      </c>
      <c r="E45" s="2"/>
      <c r="F45" s="19">
        <f t="shared" si="12"/>
        <v>1.0147439946149692</v>
      </c>
      <c r="G45" s="2"/>
      <c r="H45" s="2">
        <v>130513</v>
      </c>
      <c r="I45" s="2"/>
      <c r="J45" s="19">
        <f t="shared" si="13"/>
        <v>0.69057880825272189</v>
      </c>
      <c r="K45" s="2"/>
      <c r="L45" s="2">
        <f t="shared" si="14"/>
        <v>48834.670000000013</v>
      </c>
      <c r="M45" s="2"/>
      <c r="N45" s="19">
        <f t="shared" si="15"/>
        <v>0.37417475653766302</v>
      </c>
      <c r="O45" s="11"/>
      <c r="P45" s="2">
        <v>821540.24</v>
      </c>
      <c r="Q45" s="2"/>
      <c r="R45" s="19">
        <f t="shared" si="16"/>
        <v>0.84401406412994795</v>
      </c>
      <c r="S45" s="2"/>
      <c r="T45" s="2">
        <v>737969</v>
      </c>
      <c r="U45" s="2"/>
      <c r="V45" s="19">
        <f t="shared" si="17"/>
        <v>0.70700812442026251</v>
      </c>
      <c r="W45" s="2"/>
      <c r="X45" s="2">
        <f t="shared" si="18"/>
        <v>83571.239999999991</v>
      </c>
      <c r="Y45" s="2"/>
      <c r="Z45" s="19">
        <f t="shared" si="19"/>
        <v>0.11324491950203869</v>
      </c>
    </row>
    <row r="46" spans="1:26" s="24" customFormat="1" hidden="1" outlineLevel="1" x14ac:dyDescent="0.25">
      <c r="A46" s="44"/>
      <c r="B46" s="11" t="str">
        <f>CONCATENATE("          ", "5500", " - ", "FREIGHT-IN")</f>
        <v xml:space="preserve">          5500 - FREIGHT-IN</v>
      </c>
      <c r="C46" s="11"/>
      <c r="D46" s="2">
        <v>14203.07</v>
      </c>
      <c r="E46" s="2"/>
      <c r="F46" s="19">
        <f t="shared" si="12"/>
        <v>8.0360564414335728E-2</v>
      </c>
      <c r="G46" s="2"/>
      <c r="H46" s="2">
        <v>0</v>
      </c>
      <c r="I46" s="2"/>
      <c r="J46" s="19">
        <f t="shared" si="13"/>
        <v>0</v>
      </c>
      <c r="K46" s="2"/>
      <c r="L46" s="2">
        <f t="shared" si="14"/>
        <v>14203.07</v>
      </c>
      <c r="M46" s="2"/>
      <c r="N46" s="19">
        <f t="shared" si="15"/>
        <v>0</v>
      </c>
      <c r="O46" s="11"/>
      <c r="P46" s="2">
        <v>19824.8</v>
      </c>
      <c r="Q46" s="2"/>
      <c r="R46" s="19">
        <f t="shared" si="16"/>
        <v>2.0367121662310042E-2</v>
      </c>
      <c r="S46" s="2"/>
      <c r="T46" s="2">
        <v>0</v>
      </c>
      <c r="U46" s="2"/>
      <c r="V46" s="19">
        <f t="shared" si="17"/>
        <v>0</v>
      </c>
      <c r="W46" s="2"/>
      <c r="X46" s="2">
        <f t="shared" si="18"/>
        <v>19824.8</v>
      </c>
      <c r="Y46" s="2"/>
      <c r="Z46" s="19">
        <f t="shared" si="19"/>
        <v>0</v>
      </c>
    </row>
    <row r="47" spans="1:26" s="24" customFormat="1" hidden="1" outlineLevel="1" x14ac:dyDescent="0.25">
      <c r="A47" s="44"/>
      <c r="B47" s="11" t="str">
        <f>CONCATENATE("          ", "5501", " - ", "FREIGHT-IN-NEW TEXT")</f>
        <v xml:space="preserve">          5501 - FREIGHT-IN-NEW TEXT</v>
      </c>
      <c r="C47" s="11"/>
      <c r="D47" s="2">
        <v>0</v>
      </c>
      <c r="E47" s="2"/>
      <c r="F47" s="19">
        <f t="shared" si="12"/>
        <v>0</v>
      </c>
      <c r="G47" s="2"/>
      <c r="H47" s="2">
        <v>5279.6</v>
      </c>
      <c r="I47" s="2"/>
      <c r="J47" s="19">
        <f t="shared" si="13"/>
        <v>2.7935760238834987E-2</v>
      </c>
      <c r="K47" s="2"/>
      <c r="L47" s="2">
        <f t="shared" si="14"/>
        <v>-5279.6</v>
      </c>
      <c r="M47" s="2"/>
      <c r="N47" s="19">
        <f t="shared" si="15"/>
        <v>-1</v>
      </c>
      <c r="O47" s="11"/>
      <c r="P47" s="2">
        <v>0</v>
      </c>
      <c r="Q47" s="2"/>
      <c r="R47" s="19">
        <f t="shared" si="16"/>
        <v>0</v>
      </c>
      <c r="S47" s="2"/>
      <c r="T47" s="2">
        <v>10762.88</v>
      </c>
      <c r="U47" s="2"/>
      <c r="V47" s="19">
        <f t="shared" si="17"/>
        <v>1.0311332321764673E-2</v>
      </c>
      <c r="W47" s="2"/>
      <c r="X47" s="2">
        <f t="shared" si="18"/>
        <v>-10762.88</v>
      </c>
      <c r="Y47" s="2"/>
      <c r="Z47" s="19">
        <f t="shared" si="19"/>
        <v>-1</v>
      </c>
    </row>
    <row r="48" spans="1:26" s="24" customFormat="1" hidden="1" outlineLevel="1" x14ac:dyDescent="0.25">
      <c r="A48" s="44"/>
      <c r="B48" s="11" t="str">
        <f>CONCATENATE("          ", "5502", " - ", "FREIGHT-IN-USED TEXT")</f>
        <v xml:space="preserve">          5502 - FREIGHT-IN-USED TEXT</v>
      </c>
      <c r="C48" s="11"/>
      <c r="D48" s="2">
        <v>0</v>
      </c>
      <c r="E48" s="2"/>
      <c r="F48" s="19">
        <f t="shared" si="12"/>
        <v>0</v>
      </c>
      <c r="G48" s="2"/>
      <c r="H48" s="2">
        <v>7276.27</v>
      </c>
      <c r="I48" s="2"/>
      <c r="J48" s="19">
        <f t="shared" si="13"/>
        <v>3.8500669397876323E-2</v>
      </c>
      <c r="K48" s="2"/>
      <c r="L48" s="2">
        <f t="shared" si="14"/>
        <v>-7276.27</v>
      </c>
      <c r="M48" s="2"/>
      <c r="N48" s="19">
        <f t="shared" si="15"/>
        <v>-1</v>
      </c>
      <c r="O48" s="11"/>
      <c r="P48" s="2">
        <v>0</v>
      </c>
      <c r="Q48" s="2"/>
      <c r="R48" s="19">
        <f t="shared" si="16"/>
        <v>0</v>
      </c>
      <c r="S48" s="2"/>
      <c r="T48" s="2">
        <v>8510.82</v>
      </c>
      <c r="U48" s="2"/>
      <c r="V48" s="19">
        <f t="shared" si="17"/>
        <v>8.1537556258846344E-3</v>
      </c>
      <c r="W48" s="2"/>
      <c r="X48" s="2">
        <f t="shared" si="18"/>
        <v>-8510.82</v>
      </c>
      <c r="Y48" s="2"/>
      <c r="Z48" s="19">
        <f t="shared" si="19"/>
        <v>-1</v>
      </c>
    </row>
    <row r="49" spans="1:26" s="24" customFormat="1" hidden="1" outlineLevel="1" x14ac:dyDescent="0.25">
      <c r="A49" s="44"/>
      <c r="B49" s="11" t="str">
        <f>CONCATENATE("          ", "5504", " - ", "FREIGHT-IN-DIGITAL TEXT")</f>
        <v xml:space="preserve">          5504 - FREIGHT-IN-DIGITAL TEXT</v>
      </c>
      <c r="C49" s="11"/>
      <c r="D49" s="2"/>
      <c r="E49" s="2"/>
      <c r="F49" s="19">
        <f t="shared" si="12"/>
        <v>0</v>
      </c>
      <c r="G49" s="2"/>
      <c r="H49" s="2">
        <v>10.99</v>
      </c>
      <c r="I49" s="2"/>
      <c r="J49" s="19">
        <f t="shared" si="13"/>
        <v>5.8150997239335649E-5</v>
      </c>
      <c r="K49" s="2"/>
      <c r="L49" s="2">
        <f t="shared" si="14"/>
        <v>-10.99</v>
      </c>
      <c r="M49" s="2"/>
      <c r="N49" s="19">
        <f t="shared" si="15"/>
        <v>-1</v>
      </c>
      <c r="O49" s="11"/>
      <c r="P49" s="2"/>
      <c r="Q49" s="2"/>
      <c r="R49" s="19">
        <f t="shared" si="16"/>
        <v>0</v>
      </c>
      <c r="S49" s="2"/>
      <c r="T49" s="2">
        <v>10.99</v>
      </c>
      <c r="U49" s="2"/>
      <c r="V49" s="19">
        <f t="shared" si="17"/>
        <v>1.0528923691074672E-5</v>
      </c>
      <c r="W49" s="2"/>
      <c r="X49" s="2">
        <f t="shared" si="18"/>
        <v>-10.99</v>
      </c>
      <c r="Y49" s="2"/>
      <c r="Z49" s="19">
        <f t="shared" si="19"/>
        <v>-1</v>
      </c>
    </row>
    <row r="50" spans="1:26" s="24" customFormat="1" hidden="1" outlineLevel="1" x14ac:dyDescent="0.25">
      <c r="A50" s="44"/>
      <c r="B50" s="11" t="str">
        <f>CONCATENATE("          ", "5518", " - ", "FREIGHT-IN-STUDY GUIDES")</f>
        <v xml:space="preserve">          5518 - FREIGHT-IN-STUDY GUIDES</v>
      </c>
      <c r="C50" s="11"/>
      <c r="D50" s="2"/>
      <c r="E50" s="2"/>
      <c r="F50" s="19">
        <f t="shared" si="12"/>
        <v>0</v>
      </c>
      <c r="G50" s="2"/>
      <c r="H50" s="2"/>
      <c r="I50" s="2"/>
      <c r="J50" s="19">
        <f t="shared" si="13"/>
        <v>0</v>
      </c>
      <c r="K50" s="2"/>
      <c r="L50" s="2">
        <f t="shared" si="14"/>
        <v>0</v>
      </c>
      <c r="M50" s="2"/>
      <c r="N50" s="19">
        <f t="shared" si="15"/>
        <v>0</v>
      </c>
      <c r="O50" s="11"/>
      <c r="P50" s="2">
        <v>0</v>
      </c>
      <c r="Q50" s="2"/>
      <c r="R50" s="19">
        <f t="shared" si="16"/>
        <v>0</v>
      </c>
      <c r="S50" s="2"/>
      <c r="T50" s="2"/>
      <c r="U50" s="2"/>
      <c r="V50" s="19">
        <f t="shared" si="17"/>
        <v>0</v>
      </c>
      <c r="W50" s="2"/>
      <c r="X50" s="2">
        <f t="shared" si="18"/>
        <v>0</v>
      </c>
      <c r="Y50" s="2"/>
      <c r="Z50" s="19">
        <f t="shared" si="19"/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5" t="s">
        <v>107</v>
      </c>
      <c r="C52" s="25"/>
      <c r="D52" s="21">
        <f>D12-D36</f>
        <v>-2605.8800000000629</v>
      </c>
      <c r="E52" s="13"/>
      <c r="F52" s="22">
        <f>IF(D$12=0,0,D52/D$12)</f>
        <v>-1.4743994614969457E-2</v>
      </c>
      <c r="G52" s="13"/>
      <c r="H52" s="21">
        <f>H12-H36</f>
        <v>58477.739999999962</v>
      </c>
      <c r="I52" s="13"/>
      <c r="J52" s="22">
        <f>IF(H$12=0,0,H52/H$12)</f>
        <v>0.309421191747278</v>
      </c>
      <c r="K52" s="16"/>
      <c r="L52" s="21">
        <f>+D52-H52</f>
        <v>-61083.620000000024</v>
      </c>
      <c r="M52" s="16"/>
      <c r="N52" s="22">
        <f>IF(H52=0,0,L52/H52)</f>
        <v>-1.0445619136444066</v>
      </c>
      <c r="O52" s="26"/>
      <c r="P52" s="21">
        <f>P12-P36</f>
        <v>151832.45000000007</v>
      </c>
      <c r="Q52" s="13"/>
      <c r="R52" s="22">
        <f>IF(P$12=0,0,P52/P$12)</f>
        <v>0.15598593587005205</v>
      </c>
      <c r="S52" s="13"/>
      <c r="T52" s="21">
        <f>T12-T36</f>
        <v>305822.40000000026</v>
      </c>
      <c r="U52" s="13"/>
      <c r="V52" s="22">
        <f>IF(T$12=0,0,T52/T$12)</f>
        <v>0.29299187557973772</v>
      </c>
      <c r="W52" s="16"/>
      <c r="X52" s="21">
        <f>+P52-T52</f>
        <v>-153989.95000000019</v>
      </c>
      <c r="Y52" s="16"/>
      <c r="Z52" s="22">
        <f>IF(T52=0,0,X52/T52)</f>
        <v>-0.50352737405762316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6" t="s">
        <v>294</v>
      </c>
      <c r="C54" s="10"/>
      <c r="D54" s="20">
        <f>SUM(OSRRefD22x_0)</f>
        <v>42592.3</v>
      </c>
      <c r="E54" s="20"/>
      <c r="F54" s="30">
        <f t="shared" ref="F54:F64" si="20">IF(D$12=0,0,D54/D$12)</f>
        <v>0.24098601694596394</v>
      </c>
      <c r="G54" s="20"/>
      <c r="H54" s="20">
        <f>SUM(OSRRefH22x_0)</f>
        <v>39896.36</v>
      </c>
      <c r="I54" s="20"/>
      <c r="J54" s="30">
        <f t="shared" ref="J54:J64" si="21">IF(H$12=0,0,H54/H$12)</f>
        <v>0.21110219474245143</v>
      </c>
      <c r="K54" s="4"/>
      <c r="L54" s="20">
        <f t="shared" ref="L54:L64" si="22">+D54-H54</f>
        <v>2695.9400000000023</v>
      </c>
      <c r="M54" s="4"/>
      <c r="N54" s="30">
        <f t="shared" ref="N54:N64" si="23">IF(H54=0,0,L54/H54)</f>
        <v>6.7573583153951941E-2</v>
      </c>
      <c r="O54" s="10"/>
      <c r="P54" s="20">
        <f>SUM(OSRRefP22x_0)</f>
        <v>144893.85000000003</v>
      </c>
      <c r="Q54" s="20"/>
      <c r="R54" s="30">
        <f t="shared" ref="R54:R64" si="24">IF(P$12=0,0,P54/P$12)</f>
        <v>0.14885752547670103</v>
      </c>
      <c r="S54" s="20"/>
      <c r="T54" s="20">
        <f>SUM(OSRRefT22x_0)</f>
        <v>128431.01</v>
      </c>
      <c r="U54" s="20"/>
      <c r="V54" s="30">
        <f t="shared" ref="V54:V64" si="25">IF(T$12=0,0,T54/T$12)</f>
        <v>0.12304279379960402</v>
      </c>
      <c r="W54" s="4"/>
      <c r="X54" s="20">
        <f t="shared" ref="X54:X64" si="26">+P54-T54</f>
        <v>16462.84000000004</v>
      </c>
      <c r="Y54" s="4"/>
      <c r="Z54" s="30">
        <f t="shared" ref="Z54:Z64" si="27">IF(T54=0,0,X54/T54)</f>
        <v>0.12818430688974602</v>
      </c>
    </row>
    <row r="55" spans="1:26" s="27" customFormat="1" outlineLevel="1" collapsed="1" x14ac:dyDescent="0.25">
      <c r="A55" s="29"/>
      <c r="B55" s="14" t="str">
        <f>CONCATENATE("     ","*Benefits                                         ")</f>
        <v xml:space="preserve">     *Benefits                                         </v>
      </c>
      <c r="C55" s="14"/>
      <c r="D55" s="1">
        <f>SUM(OSRRefD22_0x_0)</f>
        <v>11720.22</v>
      </c>
      <c r="E55" s="1"/>
      <c r="F55" s="5">
        <f t="shared" si="20"/>
        <v>6.6312670025577988E-2</v>
      </c>
      <c r="G55" s="1"/>
      <c r="H55" s="1">
        <f>SUM(OSRRefH22_0x_0)</f>
        <v>10776.93</v>
      </c>
      <c r="I55" s="1"/>
      <c r="J55" s="5">
        <f t="shared" si="21"/>
        <v>5.7023587504869293E-2</v>
      </c>
      <c r="K55" s="1"/>
      <c r="L55" s="1">
        <f t="shared" si="22"/>
        <v>943.28999999999905</v>
      </c>
      <c r="M55" s="1"/>
      <c r="N55" s="5">
        <f t="shared" si="23"/>
        <v>8.7528637561902975E-2</v>
      </c>
      <c r="O55" s="14"/>
      <c r="P55" s="1">
        <f>SUM(OSRRefP22_0x_0)</f>
        <v>36222.46</v>
      </c>
      <c r="Q55" s="1"/>
      <c r="R55" s="5">
        <f t="shared" si="24"/>
        <v>3.7213351445066739E-2</v>
      </c>
      <c r="S55" s="1"/>
      <c r="T55" s="1">
        <f>SUM(OSRRefT22_0x_0)</f>
        <v>32591.090000000004</v>
      </c>
      <c r="U55" s="1"/>
      <c r="V55" s="5">
        <f t="shared" si="25"/>
        <v>3.1223757927110726E-2</v>
      </c>
      <c r="W55" s="1"/>
      <c r="X55" s="1">
        <f t="shared" si="26"/>
        <v>3631.3699999999953</v>
      </c>
      <c r="Y55" s="1"/>
      <c r="Z55" s="5">
        <f t="shared" si="27"/>
        <v>0.11142217090621992</v>
      </c>
    </row>
    <row r="56" spans="1:26" s="24" customFormat="1" hidden="1" outlineLevel="2" x14ac:dyDescent="0.25">
      <c r="A56" s="28"/>
      <c r="B56" s="11" t="str">
        <f>CONCATENATE("          ", "6111", " - ", "F.I.C.A.")</f>
        <v xml:space="preserve">          6111 - F.I.C.A.</v>
      </c>
      <c r="C56" s="11"/>
      <c r="D56" s="7">
        <v>1747.21</v>
      </c>
      <c r="E56" s="2"/>
      <c r="F56" s="6">
        <f t="shared" si="20"/>
        <v>9.8856642789461394E-3</v>
      </c>
      <c r="G56" s="2"/>
      <c r="H56" s="7">
        <v>2005.88</v>
      </c>
      <c r="I56" s="2"/>
      <c r="J56" s="6">
        <f t="shared" si="21"/>
        <v>1.0613641705408424E-2</v>
      </c>
      <c r="K56" s="2"/>
      <c r="L56" s="7">
        <f t="shared" si="22"/>
        <v>-258.67000000000007</v>
      </c>
      <c r="M56" s="2"/>
      <c r="N56" s="6">
        <f t="shared" si="23"/>
        <v>-0.12895586974295575</v>
      </c>
      <c r="O56" s="11"/>
      <c r="P56" s="7">
        <v>6411.52</v>
      </c>
      <c r="Q56" s="2"/>
      <c r="R56" s="6">
        <f t="shared" si="24"/>
        <v>6.586911740866697E-3</v>
      </c>
      <c r="S56" s="2"/>
      <c r="T56" s="7">
        <v>6099.88</v>
      </c>
      <c r="U56" s="2"/>
      <c r="V56" s="6">
        <f t="shared" si="25"/>
        <v>5.8439646082541017E-3</v>
      </c>
      <c r="W56" s="2"/>
      <c r="X56" s="7">
        <f t="shared" si="26"/>
        <v>311.64000000000033</v>
      </c>
      <c r="Y56" s="2"/>
      <c r="Z56" s="6">
        <f t="shared" si="27"/>
        <v>5.1089529630091134E-2</v>
      </c>
    </row>
    <row r="57" spans="1:26" s="24" customFormat="1" hidden="1" outlineLevel="2" x14ac:dyDescent="0.25">
      <c r="A57" s="28"/>
      <c r="B57" s="11" t="str">
        <f>CONCATENATE("          ", "6112", " - ", "COMPENSATION INSURANCE")</f>
        <v xml:space="preserve">          6112 - COMPENSATION INSURANCE</v>
      </c>
      <c r="C57" s="11"/>
      <c r="D57" s="7">
        <v>465.54</v>
      </c>
      <c r="E57" s="2"/>
      <c r="F57" s="6">
        <f t="shared" si="20"/>
        <v>2.6340120239814252E-3</v>
      </c>
      <c r="G57" s="2"/>
      <c r="H57" s="7">
        <v>94.94</v>
      </c>
      <c r="I57" s="2"/>
      <c r="J57" s="6">
        <f t="shared" si="21"/>
        <v>5.0235265495018433E-4</v>
      </c>
      <c r="K57" s="2"/>
      <c r="L57" s="7">
        <f t="shared" si="22"/>
        <v>370.6</v>
      </c>
      <c r="M57" s="2"/>
      <c r="N57" s="6">
        <f t="shared" si="23"/>
        <v>3.9035180113756058</v>
      </c>
      <c r="O57" s="11"/>
      <c r="P57" s="7">
        <v>1319.1</v>
      </c>
      <c r="Q57" s="2"/>
      <c r="R57" s="6">
        <f t="shared" si="24"/>
        <v>1.3551849292176052E-3</v>
      </c>
      <c r="S57" s="2"/>
      <c r="T57" s="7">
        <v>433.29</v>
      </c>
      <c r="U57" s="2"/>
      <c r="V57" s="6">
        <f t="shared" si="25"/>
        <v>4.1511167844456281E-4</v>
      </c>
      <c r="W57" s="2"/>
      <c r="X57" s="7">
        <f t="shared" si="26"/>
        <v>885.81</v>
      </c>
      <c r="Y57" s="2"/>
      <c r="Z57" s="6">
        <f t="shared" si="27"/>
        <v>2.0443813612130444</v>
      </c>
    </row>
    <row r="58" spans="1:26" s="24" customFormat="1" hidden="1" outlineLevel="2" x14ac:dyDescent="0.25">
      <c r="A58" s="28"/>
      <c r="B58" s="11" t="str">
        <f>CONCATENATE("          ", "6113", " - ", "GROUP INSURANCE")</f>
        <v xml:space="preserve">          6113 - GROUP INSURANCE</v>
      </c>
      <c r="C58" s="11"/>
      <c r="D58" s="7">
        <v>4650.1099999999997</v>
      </c>
      <c r="E58" s="2"/>
      <c r="F58" s="6">
        <f t="shared" si="20"/>
        <v>2.6310189570898878E-2</v>
      </c>
      <c r="G58" s="2"/>
      <c r="H58" s="7">
        <v>4248.21</v>
      </c>
      <c r="I58" s="2"/>
      <c r="J58" s="6">
        <f t="shared" si="21"/>
        <v>2.2478402910110835E-2</v>
      </c>
      <c r="K58" s="2"/>
      <c r="L58" s="7">
        <f t="shared" si="22"/>
        <v>401.89999999999964</v>
      </c>
      <c r="M58" s="2"/>
      <c r="N58" s="6">
        <f t="shared" si="23"/>
        <v>9.4604551093283903E-2</v>
      </c>
      <c r="O58" s="11"/>
      <c r="P58" s="7">
        <v>13837.83</v>
      </c>
      <c r="Q58" s="2"/>
      <c r="R58" s="6">
        <f t="shared" si="24"/>
        <v>1.4216373792036429E-2</v>
      </c>
      <c r="S58" s="2"/>
      <c r="T58" s="7">
        <v>12610.42</v>
      </c>
      <c r="U58" s="2"/>
      <c r="V58" s="6">
        <f t="shared" si="25"/>
        <v>1.208136031777997E-2</v>
      </c>
      <c r="W58" s="2"/>
      <c r="X58" s="7">
        <f t="shared" si="26"/>
        <v>1227.4099999999999</v>
      </c>
      <c r="Y58" s="2"/>
      <c r="Z58" s="6">
        <f t="shared" si="27"/>
        <v>9.7332999218106925E-2</v>
      </c>
    </row>
    <row r="59" spans="1:26" s="24" customFormat="1" hidden="1" outlineLevel="2" x14ac:dyDescent="0.25">
      <c r="A59" s="28"/>
      <c r="B59" s="11" t="str">
        <f>CONCATENATE("          ", "6114", " - ", "STATE UNEMPLOYMENT INSURANCE")</f>
        <v xml:space="preserve">          6114 - STATE UNEMPLOYMENT INSURANCE</v>
      </c>
      <c r="C59" s="11"/>
      <c r="D59" s="7">
        <v>92.82</v>
      </c>
      <c r="E59" s="2"/>
      <c r="F59" s="6">
        <f t="shared" si="20"/>
        <v>5.2517290902168634E-4</v>
      </c>
      <c r="G59" s="2"/>
      <c r="H59" s="7">
        <v>74.8</v>
      </c>
      <c r="I59" s="2"/>
      <c r="J59" s="6">
        <f t="shared" si="21"/>
        <v>3.9578658721586043E-4</v>
      </c>
      <c r="K59" s="2"/>
      <c r="L59" s="7">
        <f t="shared" si="22"/>
        <v>18.019999999999996</v>
      </c>
      <c r="M59" s="2"/>
      <c r="N59" s="6">
        <f t="shared" si="23"/>
        <v>0.24090909090909088</v>
      </c>
      <c r="O59" s="11"/>
      <c r="P59" s="7">
        <v>261.45</v>
      </c>
      <c r="Q59" s="2"/>
      <c r="R59" s="6">
        <f t="shared" si="24"/>
        <v>2.6860215278897949E-4</v>
      </c>
      <c r="S59" s="2"/>
      <c r="T59" s="7">
        <v>208.22</v>
      </c>
      <c r="U59" s="2"/>
      <c r="V59" s="6">
        <f t="shared" si="25"/>
        <v>1.9948430308967864E-4</v>
      </c>
      <c r="W59" s="2"/>
      <c r="X59" s="7">
        <f t="shared" si="26"/>
        <v>53.22999999999999</v>
      </c>
      <c r="Y59" s="2"/>
      <c r="Z59" s="6">
        <f t="shared" si="27"/>
        <v>0.25564306982998747</v>
      </c>
    </row>
    <row r="60" spans="1:26" s="24" customFormat="1" hidden="1" outlineLevel="2" x14ac:dyDescent="0.25">
      <c r="A60" s="28"/>
      <c r="B60" s="11" t="str">
        <f>CONCATENATE("          ", "6115", " - ", "P.E.R.S.")</f>
        <v xml:space="preserve">          6115 - P.E.R.S.</v>
      </c>
      <c r="C60" s="11"/>
      <c r="D60" s="7">
        <v>1607.1</v>
      </c>
      <c r="E60" s="2"/>
      <c r="F60" s="6">
        <f t="shared" si="20"/>
        <v>9.0929259005467795E-3</v>
      </c>
      <c r="G60" s="2"/>
      <c r="H60" s="7">
        <v>1480.2</v>
      </c>
      <c r="I60" s="2"/>
      <c r="J60" s="6">
        <f t="shared" si="21"/>
        <v>7.8321297646646616E-3</v>
      </c>
      <c r="K60" s="2"/>
      <c r="L60" s="7">
        <f t="shared" si="22"/>
        <v>126.89999999999986</v>
      </c>
      <c r="M60" s="2"/>
      <c r="N60" s="6">
        <f t="shared" si="23"/>
        <v>8.5731657884069626E-2</v>
      </c>
      <c r="O60" s="11"/>
      <c r="P60" s="7">
        <v>4821.3</v>
      </c>
      <c r="Q60" s="2"/>
      <c r="R60" s="6">
        <f t="shared" si="24"/>
        <v>4.9531901290552956E-3</v>
      </c>
      <c r="S60" s="2"/>
      <c r="T60" s="7">
        <v>5180.72</v>
      </c>
      <c r="U60" s="2"/>
      <c r="V60" s="6">
        <f t="shared" si="25"/>
        <v>4.9633672015308803E-3</v>
      </c>
      <c r="W60" s="2"/>
      <c r="X60" s="7">
        <f t="shared" si="26"/>
        <v>-359.42000000000007</v>
      </c>
      <c r="Y60" s="2"/>
      <c r="Z60" s="6">
        <f t="shared" si="27"/>
        <v>-6.9376457326394803E-2</v>
      </c>
    </row>
    <row r="61" spans="1:26" s="24" customFormat="1" hidden="1" outlineLevel="2" x14ac:dyDescent="0.25">
      <c r="A61" s="28"/>
      <c r="B61" s="11" t="str">
        <f>CONCATENATE("          ", "6117", " - ", "RETIREMENT STAFF HOURLY")</f>
        <v xml:space="preserve">          6117 - RETIREMENT STAFF HOURLY</v>
      </c>
      <c r="C61" s="11"/>
      <c r="D61" s="7">
        <v>190.96</v>
      </c>
      <c r="E61" s="2"/>
      <c r="F61" s="6">
        <f t="shared" si="20"/>
        <v>1.0804462261019309E-3</v>
      </c>
      <c r="G61" s="2"/>
      <c r="H61" s="7">
        <v>248.98</v>
      </c>
      <c r="I61" s="2"/>
      <c r="J61" s="6">
        <f t="shared" si="21"/>
        <v>1.3174190439171783E-3</v>
      </c>
      <c r="K61" s="2"/>
      <c r="L61" s="7">
        <f t="shared" si="22"/>
        <v>-58.019999999999982</v>
      </c>
      <c r="M61" s="2"/>
      <c r="N61" s="6">
        <f t="shared" si="23"/>
        <v>-0.23303076552333515</v>
      </c>
      <c r="O61" s="11"/>
      <c r="P61" s="7">
        <v>976.89</v>
      </c>
      <c r="Q61" s="2"/>
      <c r="R61" s="6">
        <f t="shared" si="24"/>
        <v>1.003613528544755E-3</v>
      </c>
      <c r="S61" s="2"/>
      <c r="T61" s="7">
        <v>837.77</v>
      </c>
      <c r="U61" s="2"/>
      <c r="V61" s="6">
        <f t="shared" si="25"/>
        <v>8.0262205647603534E-4</v>
      </c>
      <c r="W61" s="2"/>
      <c r="X61" s="7">
        <f t="shared" si="26"/>
        <v>139.12</v>
      </c>
      <c r="Y61" s="2"/>
      <c r="Z61" s="6">
        <f t="shared" si="27"/>
        <v>0.16605989710779809</v>
      </c>
    </row>
    <row r="62" spans="1:26" s="24" customFormat="1" hidden="1" outlineLevel="2" x14ac:dyDescent="0.25">
      <c r="A62" s="28"/>
      <c r="B62" s="11" t="str">
        <f>CONCATENATE("          ", "6118", " - ", "VACATION")</f>
        <v xml:space="preserve">          6118 - VACATION</v>
      </c>
      <c r="C62" s="11"/>
      <c r="D62" s="7">
        <v>1143.8800000000001</v>
      </c>
      <c r="E62" s="2"/>
      <c r="F62" s="6">
        <f t="shared" si="20"/>
        <v>6.4720403703051781E-3</v>
      </c>
      <c r="G62" s="2"/>
      <c r="H62" s="7">
        <v>1121.07</v>
      </c>
      <c r="I62" s="2"/>
      <c r="J62" s="6">
        <f t="shared" si="21"/>
        <v>5.9318779322203828E-3</v>
      </c>
      <c r="K62" s="2"/>
      <c r="L62" s="7">
        <f t="shared" si="22"/>
        <v>22.810000000000173</v>
      </c>
      <c r="M62" s="2"/>
      <c r="N62" s="6">
        <f t="shared" si="23"/>
        <v>2.0346633127280342E-2</v>
      </c>
      <c r="O62" s="11"/>
      <c r="P62" s="7">
        <v>3808.77</v>
      </c>
      <c r="Q62" s="2"/>
      <c r="R62" s="6">
        <f t="shared" si="24"/>
        <v>3.9129616426776875E-3</v>
      </c>
      <c r="S62" s="2"/>
      <c r="T62" s="7">
        <v>3031.38</v>
      </c>
      <c r="U62" s="2"/>
      <c r="V62" s="6">
        <f t="shared" si="25"/>
        <v>2.9042009734895308E-3</v>
      </c>
      <c r="W62" s="2"/>
      <c r="X62" s="7">
        <f t="shared" si="26"/>
        <v>777.38999999999987</v>
      </c>
      <c r="Y62" s="2"/>
      <c r="Z62" s="6">
        <f t="shared" si="27"/>
        <v>0.25644755853769563</v>
      </c>
    </row>
    <row r="63" spans="1:26" s="24" customFormat="1" hidden="1" outlineLevel="2" x14ac:dyDescent="0.25">
      <c r="A63" s="28"/>
      <c r="B63" s="11" t="str">
        <f>CONCATENATE("          ", "6119", " - ", "SICK LEAVE")</f>
        <v xml:space="preserve">          6119 - SICK LEAVE</v>
      </c>
      <c r="C63" s="11"/>
      <c r="D63" s="7">
        <v>1071.9000000000001</v>
      </c>
      <c r="E63" s="2"/>
      <c r="F63" s="6">
        <f t="shared" si="20"/>
        <v>6.0647795860843097E-3</v>
      </c>
      <c r="G63" s="2"/>
      <c r="H63" s="7">
        <v>944.6</v>
      </c>
      <c r="I63" s="2"/>
      <c r="J63" s="6">
        <f t="shared" si="21"/>
        <v>4.998128479733981E-3</v>
      </c>
      <c r="K63" s="2"/>
      <c r="L63" s="7">
        <f t="shared" si="22"/>
        <v>127.30000000000007</v>
      </c>
      <c r="M63" s="2"/>
      <c r="N63" s="6">
        <f t="shared" si="23"/>
        <v>0.13476603853482963</v>
      </c>
      <c r="O63" s="11"/>
      <c r="P63" s="7">
        <v>3215.7</v>
      </c>
      <c r="Q63" s="2"/>
      <c r="R63" s="6">
        <f t="shared" si="24"/>
        <v>3.3036677862823536E-3</v>
      </c>
      <c r="S63" s="2"/>
      <c r="T63" s="7">
        <v>2833.8</v>
      </c>
      <c r="U63" s="2"/>
      <c r="V63" s="6">
        <f t="shared" si="25"/>
        <v>2.7149102780498098E-3</v>
      </c>
      <c r="W63" s="2"/>
      <c r="X63" s="7">
        <f t="shared" si="26"/>
        <v>381.89999999999964</v>
      </c>
      <c r="Y63" s="2"/>
      <c r="Z63" s="6">
        <f t="shared" si="27"/>
        <v>0.13476603853482941</v>
      </c>
    </row>
    <row r="64" spans="1:26" s="24" customFormat="1" hidden="1" outlineLevel="2" x14ac:dyDescent="0.25">
      <c r="A64" s="28"/>
      <c r="B64" s="11" t="str">
        <f>CONCATENATE("          ", "6156", " - ", "EMPLOYEE MEALS")</f>
        <v xml:space="preserve">          6156 - EMPLOYEE MEALS</v>
      </c>
      <c r="C64" s="11"/>
      <c r="D64" s="7">
        <v>750.7</v>
      </c>
      <c r="E64" s="2"/>
      <c r="F64" s="6">
        <f t="shared" si="20"/>
        <v>4.2474391596916614E-3</v>
      </c>
      <c r="G64" s="2"/>
      <c r="H64" s="7">
        <v>558.25</v>
      </c>
      <c r="I64" s="2"/>
      <c r="J64" s="6">
        <f t="shared" si="21"/>
        <v>2.953848426647782E-3</v>
      </c>
      <c r="K64" s="2"/>
      <c r="L64" s="7">
        <f t="shared" si="22"/>
        <v>192.45000000000005</v>
      </c>
      <c r="M64" s="2"/>
      <c r="N64" s="6">
        <f t="shared" si="23"/>
        <v>0.34473802060008962</v>
      </c>
      <c r="O64" s="11"/>
      <c r="P64" s="7">
        <v>1569.9</v>
      </c>
      <c r="Q64" s="2"/>
      <c r="R64" s="6">
        <f t="shared" si="24"/>
        <v>1.6128457435969361E-3</v>
      </c>
      <c r="S64" s="2"/>
      <c r="T64" s="7">
        <v>1355.61</v>
      </c>
      <c r="U64" s="2"/>
      <c r="V64" s="6">
        <f t="shared" si="25"/>
        <v>1.2987365099961542E-3</v>
      </c>
      <c r="W64" s="2"/>
      <c r="X64" s="7">
        <f t="shared" si="26"/>
        <v>214.29000000000019</v>
      </c>
      <c r="Y64" s="2"/>
      <c r="Z64" s="6">
        <f t="shared" si="27"/>
        <v>0.15807643791355935</v>
      </c>
    </row>
    <row r="65" spans="1:26" s="27" customFormat="1" outlineLevel="1" collapsed="1" x14ac:dyDescent="0.25">
      <c r="A65" s="29"/>
      <c r="B65" s="14" t="str">
        <f>CONCATENATE("     ","*Payroll                                          ")</f>
        <v xml:space="preserve">     *Payroll                                          </v>
      </c>
      <c r="C65" s="14"/>
      <c r="D65" s="1">
        <f>SUM(OSRRefD22_1x_0)</f>
        <v>29190.14</v>
      </c>
      <c r="E65" s="1"/>
      <c r="F65" s="5">
        <f t="shared" ref="F65:F72" si="28">IF(D$12=0,0,D65/D$12)</f>
        <v>0.16515697843730109</v>
      </c>
      <c r="G65" s="1"/>
      <c r="H65" s="1">
        <f>SUM(OSRRefH22_1x_0)</f>
        <v>25117.03</v>
      </c>
      <c r="I65" s="1"/>
      <c r="J65" s="5">
        <f t="shared" ref="J65:J72" si="29">IF(H$12=0,0,H65/H$12)</f>
        <v>0.1329008500628126</v>
      </c>
      <c r="K65" s="1"/>
      <c r="L65" s="1">
        <f t="shared" ref="L65:L72" si="30">+D65-H65</f>
        <v>4073.1100000000006</v>
      </c>
      <c r="M65" s="1"/>
      <c r="N65" s="5">
        <f t="shared" ref="N65:N72" si="31">IF(H65=0,0,L65/H65)</f>
        <v>0.16216527192904578</v>
      </c>
      <c r="O65" s="14"/>
      <c r="P65" s="1">
        <f>SUM(OSRRefP22_1x_0)</f>
        <v>99371.32</v>
      </c>
      <c r="Q65" s="1"/>
      <c r="R65" s="5">
        <f t="shared" ref="R65:R72" si="32">IF(P$12=0,0,P65/P$12)</f>
        <v>0.10208969392802668</v>
      </c>
      <c r="S65" s="1"/>
      <c r="T65" s="1">
        <f>SUM(OSRRefT22_1x_0)</f>
        <v>89674.319999999992</v>
      </c>
      <c r="U65" s="1"/>
      <c r="V65" s="5">
        <f t="shared" ref="V65:V72" si="33">IF(T$12=0,0,T65/T$12)</f>
        <v>8.5912108492175732E-2</v>
      </c>
      <c r="W65" s="1"/>
      <c r="X65" s="1">
        <f t="shared" ref="X65:X72" si="34">+P65-T65</f>
        <v>9697.0000000000146</v>
      </c>
      <c r="Y65" s="1"/>
      <c r="Z65" s="5">
        <f t="shared" ref="Z65:Z72" si="35">IF(T65=0,0,X65/T65)</f>
        <v>0.1081357516845404</v>
      </c>
    </row>
    <row r="66" spans="1:26" s="24" customFormat="1" hidden="1" outlineLevel="2" x14ac:dyDescent="0.25">
      <c r="A66" s="28"/>
      <c r="B66" s="11" t="str">
        <f>CONCATENATE("          ", "6001", " - ", "ADMINISTRATIVE SALARIES")</f>
        <v xml:space="preserve">          6001 - ADMINISTRATIVE SALARIES</v>
      </c>
      <c r="C66" s="11"/>
      <c r="D66" s="7"/>
      <c r="E66" s="2"/>
      <c r="F66" s="6">
        <f t="shared" si="28"/>
        <v>0</v>
      </c>
      <c r="G66" s="2"/>
      <c r="H66" s="7"/>
      <c r="I66" s="2"/>
      <c r="J66" s="6">
        <f t="shared" si="29"/>
        <v>0</v>
      </c>
      <c r="K66" s="2"/>
      <c r="L66" s="7">
        <f t="shared" si="30"/>
        <v>0</v>
      </c>
      <c r="M66" s="2"/>
      <c r="N66" s="6">
        <f t="shared" si="31"/>
        <v>0</v>
      </c>
      <c r="O66" s="11"/>
      <c r="P66" s="7"/>
      <c r="Q66" s="2"/>
      <c r="R66" s="6">
        <f t="shared" si="32"/>
        <v>0</v>
      </c>
      <c r="S66" s="2"/>
      <c r="T66" s="7">
        <v>-311.32</v>
      </c>
      <c r="U66" s="2"/>
      <c r="V66" s="6">
        <f t="shared" si="33"/>
        <v>-2.982588283444374E-4</v>
      </c>
      <c r="W66" s="2"/>
      <c r="X66" s="7">
        <f t="shared" si="34"/>
        <v>311.32</v>
      </c>
      <c r="Y66" s="2"/>
      <c r="Z66" s="6">
        <f t="shared" si="35"/>
        <v>-1</v>
      </c>
    </row>
    <row r="67" spans="1:26" s="24" customFormat="1" hidden="1" outlineLevel="2" x14ac:dyDescent="0.25">
      <c r="A67" s="28"/>
      <c r="B67" s="11" t="str">
        <f>CONCATENATE("          ", "6002", " - ", "STAFF SALARIES")</f>
        <v xml:space="preserve">          6002 - STAFF SALARIES</v>
      </c>
      <c r="C67" s="11"/>
      <c r="D67" s="7">
        <v>16350.77</v>
      </c>
      <c r="E67" s="2"/>
      <c r="F67" s="6">
        <f t="shared" si="28"/>
        <v>9.2512189675118706E-2</v>
      </c>
      <c r="G67" s="2"/>
      <c r="H67" s="7">
        <v>14307.52</v>
      </c>
      <c r="I67" s="2"/>
      <c r="J67" s="6">
        <f t="shared" si="29"/>
        <v>7.5704873159393948E-2</v>
      </c>
      <c r="K67" s="2"/>
      <c r="L67" s="7">
        <f t="shared" si="30"/>
        <v>2043.25</v>
      </c>
      <c r="M67" s="2"/>
      <c r="N67" s="6">
        <f t="shared" si="31"/>
        <v>0.14280951555545615</v>
      </c>
      <c r="O67" s="11"/>
      <c r="P67" s="7">
        <v>53100.78</v>
      </c>
      <c r="Q67" s="2"/>
      <c r="R67" s="6">
        <f t="shared" si="32"/>
        <v>5.455339002782171E-2</v>
      </c>
      <c r="S67" s="2"/>
      <c r="T67" s="7">
        <v>47442.92</v>
      </c>
      <c r="U67" s="2"/>
      <c r="V67" s="6">
        <f t="shared" si="33"/>
        <v>4.5452491752662458E-2</v>
      </c>
      <c r="W67" s="2"/>
      <c r="X67" s="7">
        <f t="shared" si="34"/>
        <v>5657.8600000000006</v>
      </c>
      <c r="Y67" s="2"/>
      <c r="Z67" s="6">
        <f t="shared" si="35"/>
        <v>0.11925615033813267</v>
      </c>
    </row>
    <row r="68" spans="1:26" s="24" customFormat="1" hidden="1" outlineLevel="2" x14ac:dyDescent="0.25">
      <c r="A68" s="28"/>
      <c r="B68" s="11" t="str">
        <f>CONCATENATE("          ", "6004", " - ", "STAFF HOURLY")</f>
        <v xml:space="preserve">          6004 - STAFF HOURLY</v>
      </c>
      <c r="C68" s="11"/>
      <c r="D68" s="7">
        <v>4924.04</v>
      </c>
      <c r="E68" s="2"/>
      <c r="F68" s="6">
        <f t="shared" si="28"/>
        <v>2.7860077687342645E-2</v>
      </c>
      <c r="G68" s="2"/>
      <c r="H68" s="7">
        <v>6404.63</v>
      </c>
      <c r="I68" s="2"/>
      <c r="J68" s="6">
        <f t="shared" si="29"/>
        <v>3.3888591578613854E-2</v>
      </c>
      <c r="K68" s="2"/>
      <c r="L68" s="7">
        <f t="shared" si="30"/>
        <v>-1480.5900000000001</v>
      </c>
      <c r="M68" s="2"/>
      <c r="N68" s="6">
        <f t="shared" si="31"/>
        <v>-0.2311749468743706</v>
      </c>
      <c r="O68" s="11"/>
      <c r="P68" s="7">
        <v>17748.91</v>
      </c>
      <c r="Q68" s="2"/>
      <c r="R68" s="6">
        <f t="shared" si="32"/>
        <v>1.8234444198347088E-2</v>
      </c>
      <c r="S68" s="2"/>
      <c r="T68" s="7">
        <v>18577.73</v>
      </c>
      <c r="U68" s="2"/>
      <c r="V68" s="6">
        <f t="shared" si="33"/>
        <v>1.7798316790117258E-2</v>
      </c>
      <c r="W68" s="2"/>
      <c r="X68" s="7">
        <f t="shared" si="34"/>
        <v>-828.81999999999971</v>
      </c>
      <c r="Y68" s="2"/>
      <c r="Z68" s="6">
        <f t="shared" si="35"/>
        <v>-4.4613631482425448E-2</v>
      </c>
    </row>
    <row r="69" spans="1:26" s="24" customFormat="1" hidden="1" outlineLevel="2" x14ac:dyDescent="0.25">
      <c r="A69" s="28"/>
      <c r="B69" s="11" t="str">
        <f>CONCATENATE("          ", "6005", " - ", "TEMPORARY WAGES-HOURLY")</f>
        <v xml:space="preserve">          6005 - TEMPORARY WAGES-HOURLY</v>
      </c>
      <c r="C69" s="11"/>
      <c r="D69" s="7">
        <v>1055.96</v>
      </c>
      <c r="E69" s="2"/>
      <c r="F69" s="6">
        <f t="shared" si="28"/>
        <v>5.9745915213374268E-3</v>
      </c>
      <c r="G69" s="2"/>
      <c r="H69" s="7">
        <v>5645.28</v>
      </c>
      <c r="I69" s="2"/>
      <c r="J69" s="6">
        <f t="shared" si="29"/>
        <v>2.9870669853983321E-2</v>
      </c>
      <c r="K69" s="2"/>
      <c r="L69" s="7">
        <f t="shared" si="30"/>
        <v>-4589.32</v>
      </c>
      <c r="M69" s="2"/>
      <c r="N69" s="6">
        <f t="shared" si="31"/>
        <v>-0.8129481620043647</v>
      </c>
      <c r="O69" s="11"/>
      <c r="P69" s="7">
        <v>8137.23</v>
      </c>
      <c r="Q69" s="2"/>
      <c r="R69" s="6">
        <f t="shared" si="32"/>
        <v>8.3598297790746512E-3</v>
      </c>
      <c r="S69" s="2"/>
      <c r="T69" s="7">
        <v>11339.33</v>
      </c>
      <c r="U69" s="2"/>
      <c r="V69" s="6">
        <f t="shared" si="33"/>
        <v>1.0863597841484419E-2</v>
      </c>
      <c r="W69" s="2"/>
      <c r="X69" s="7">
        <f t="shared" si="34"/>
        <v>-3202.1000000000004</v>
      </c>
      <c r="Y69" s="2"/>
      <c r="Z69" s="6">
        <f t="shared" si="35"/>
        <v>-0.28238881838697705</v>
      </c>
    </row>
    <row r="70" spans="1:26" s="24" customFormat="1" hidden="1" outlineLevel="2" x14ac:dyDescent="0.25">
      <c r="A70" s="28"/>
      <c r="B70" s="11" t="str">
        <f>CONCATENATE("          ", "6006", " - ", "TEMPORARY PART TIME")</f>
        <v xml:space="preserve">          6006 - TEMPORARY PART TIME</v>
      </c>
      <c r="C70" s="11"/>
      <c r="D70" s="7"/>
      <c r="E70" s="2"/>
      <c r="F70" s="6">
        <f t="shared" si="28"/>
        <v>0</v>
      </c>
      <c r="G70" s="2"/>
      <c r="H70" s="7"/>
      <c r="I70" s="2"/>
      <c r="J70" s="6">
        <f t="shared" si="29"/>
        <v>0</v>
      </c>
      <c r="K70" s="2"/>
      <c r="L70" s="7">
        <f t="shared" si="30"/>
        <v>0</v>
      </c>
      <c r="M70" s="2"/>
      <c r="N70" s="6">
        <f t="shared" si="31"/>
        <v>0</v>
      </c>
      <c r="O70" s="11"/>
      <c r="P70" s="7"/>
      <c r="Q70" s="2"/>
      <c r="R70" s="6">
        <f t="shared" si="32"/>
        <v>0</v>
      </c>
      <c r="S70" s="2"/>
      <c r="T70" s="7">
        <v>502.29</v>
      </c>
      <c r="U70" s="2"/>
      <c r="V70" s="6">
        <f t="shared" si="33"/>
        <v>4.8121684083620543E-4</v>
      </c>
      <c r="W70" s="2"/>
      <c r="X70" s="7">
        <f t="shared" si="34"/>
        <v>-502.29</v>
      </c>
      <c r="Y70" s="2"/>
      <c r="Z70" s="6">
        <f t="shared" si="35"/>
        <v>-1</v>
      </c>
    </row>
    <row r="71" spans="1:26" s="24" customFormat="1" hidden="1" outlineLevel="2" x14ac:dyDescent="0.25">
      <c r="A71" s="28"/>
      <c r="B71" s="11" t="str">
        <f>CONCATENATE("          ", "6007", " - ", "STUDENT HOURLY")</f>
        <v xml:space="preserve">          6007 - STUDENT HOURLY</v>
      </c>
      <c r="C71" s="11"/>
      <c r="D71" s="7">
        <v>4598.51</v>
      </c>
      <c r="E71" s="2"/>
      <c r="F71" s="6">
        <f t="shared" si="28"/>
        <v>2.6018238244616625E-2</v>
      </c>
      <c r="G71" s="2"/>
      <c r="H71" s="7">
        <v>-1240.4000000000001</v>
      </c>
      <c r="I71" s="2"/>
      <c r="J71" s="6">
        <f t="shared" si="29"/>
        <v>-6.5632845291785204E-3</v>
      </c>
      <c r="K71" s="2"/>
      <c r="L71" s="7">
        <f t="shared" si="30"/>
        <v>5838.91</v>
      </c>
      <c r="M71" s="2"/>
      <c r="N71" s="6">
        <f t="shared" si="31"/>
        <v>-4.7072799097065454</v>
      </c>
      <c r="O71" s="11"/>
      <c r="P71" s="7">
        <v>16584.52</v>
      </c>
      <c r="Q71" s="2"/>
      <c r="R71" s="6">
        <f t="shared" si="32"/>
        <v>1.7038201472449364E-2</v>
      </c>
      <c r="S71" s="2"/>
      <c r="T71" s="7">
        <v>12123.37</v>
      </c>
      <c r="U71" s="2"/>
      <c r="V71" s="6">
        <f t="shared" si="33"/>
        <v>1.1614744095419833E-2</v>
      </c>
      <c r="W71" s="2"/>
      <c r="X71" s="7">
        <f t="shared" si="34"/>
        <v>4461.1499999999996</v>
      </c>
      <c r="Y71" s="2"/>
      <c r="Z71" s="6">
        <f t="shared" si="35"/>
        <v>0.36797936547346155</v>
      </c>
    </row>
    <row r="72" spans="1:26" s="24" customFormat="1" hidden="1" outlineLevel="2" x14ac:dyDescent="0.25">
      <c r="A72" s="28"/>
      <c r="B72" s="11" t="str">
        <f>CONCATENATE("          ", "6008", " - ", "STUDENT HOURLY-FICA EXEMPT")</f>
        <v xml:space="preserve">          6008 - STUDENT HOURLY-FICA EXEMPT</v>
      </c>
      <c r="C72" s="11"/>
      <c r="D72" s="7">
        <v>2260.86</v>
      </c>
      <c r="E72" s="2"/>
      <c r="F72" s="6">
        <f t="shared" si="28"/>
        <v>1.2791881308885691E-2</v>
      </c>
      <c r="G72" s="2"/>
      <c r="H72" s="7"/>
      <c r="I72" s="2"/>
      <c r="J72" s="6">
        <f t="shared" si="29"/>
        <v>0</v>
      </c>
      <c r="K72" s="2"/>
      <c r="L72" s="7">
        <f t="shared" si="30"/>
        <v>2260.86</v>
      </c>
      <c r="M72" s="2"/>
      <c r="N72" s="6">
        <f t="shared" si="31"/>
        <v>0</v>
      </c>
      <c r="O72" s="11"/>
      <c r="P72" s="7">
        <v>3799.88</v>
      </c>
      <c r="Q72" s="2"/>
      <c r="R72" s="6">
        <f t="shared" si="32"/>
        <v>3.903828450333859E-3</v>
      </c>
      <c r="S72" s="2"/>
      <c r="T72" s="7"/>
      <c r="U72" s="2"/>
      <c r="V72" s="6">
        <f t="shared" si="33"/>
        <v>0</v>
      </c>
      <c r="W72" s="2"/>
      <c r="X72" s="7">
        <f t="shared" si="34"/>
        <v>3799.88</v>
      </c>
      <c r="Y72" s="2"/>
      <c r="Z72" s="6">
        <f t="shared" si="35"/>
        <v>0</v>
      </c>
    </row>
    <row r="73" spans="1:26" s="27" customFormat="1" outlineLevel="1" collapsed="1" x14ac:dyDescent="0.25">
      <c r="A73" s="29"/>
      <c r="B73" s="14" t="str">
        <f>CONCATENATE("     ","Advertising/Promo                                 ")</f>
        <v xml:space="preserve">     Advertising/Promo                                 </v>
      </c>
      <c r="C73" s="14"/>
      <c r="D73" s="1">
        <f>SUM(OSRRefD22_2x_0)</f>
        <v>35.28</v>
      </c>
      <c r="E73" s="1"/>
      <c r="F73" s="5">
        <f t="shared" ref="F73:F90" si="36">IF(D$12=0,0,D73/D$12)</f>
        <v>1.9961323238833328E-4</v>
      </c>
      <c r="G73" s="1"/>
      <c r="H73" s="1">
        <f>SUM(OSRRefH22_2x_0)</f>
        <v>0</v>
      </c>
      <c r="I73" s="1"/>
      <c r="J73" s="5">
        <f t="shared" ref="J73:J90" si="37">IF(H$12=0,0,H73/H$12)</f>
        <v>0</v>
      </c>
      <c r="K73" s="1"/>
      <c r="L73" s="1">
        <f t="shared" ref="L73:L90" si="38">+D73-H73</f>
        <v>35.28</v>
      </c>
      <c r="M73" s="1"/>
      <c r="N73" s="5">
        <f t="shared" ref="N73:N90" si="39">IF(H73=0,0,L73/H73)</f>
        <v>0</v>
      </c>
      <c r="O73" s="14"/>
      <c r="P73" s="1">
        <f>SUM(OSRRefP22_2x_0)</f>
        <v>119.42</v>
      </c>
      <c r="Q73" s="1"/>
      <c r="R73" s="5">
        <f t="shared" ref="R73:R90" si="40">IF(P$12=0,0,P73/P$12)</f>
        <v>1.2268681998875476E-4</v>
      </c>
      <c r="S73" s="1"/>
      <c r="T73" s="1">
        <f>SUM(OSRRefT22_2x_0)</f>
        <v>1359.88</v>
      </c>
      <c r="U73" s="1"/>
      <c r="V73" s="5">
        <f t="shared" ref="V73:V90" si="41">IF(T$12=0,0,T73/T$12)</f>
        <v>1.3028273656977823E-3</v>
      </c>
      <c r="W73" s="1"/>
      <c r="X73" s="1">
        <f t="shared" ref="X73:X90" si="42">+P73-T73</f>
        <v>-1240.46</v>
      </c>
      <c r="Y73" s="1"/>
      <c r="Z73" s="5">
        <f t="shared" ref="Z73:Z90" si="43">IF(T73=0,0,X73/T73)</f>
        <v>-0.91218342794952489</v>
      </c>
    </row>
    <row r="74" spans="1:26" s="24" customFormat="1" hidden="1" outlineLevel="2" x14ac:dyDescent="0.25">
      <c r="A74" s="28"/>
      <c r="B74" s="11" t="str">
        <f>CONCATENATE("          ", "6362", " - ", "ADVERTISING EXPENSE")</f>
        <v xml:space="preserve">          6362 - ADVERTISING EXPENSE</v>
      </c>
      <c r="C74" s="11"/>
      <c r="D74" s="7">
        <v>35.28</v>
      </c>
      <c r="E74" s="2"/>
      <c r="F74" s="6">
        <f t="shared" si="36"/>
        <v>1.9961323238833328E-4</v>
      </c>
      <c r="G74" s="2"/>
      <c r="H74" s="7"/>
      <c r="I74" s="2"/>
      <c r="J74" s="6">
        <f t="shared" si="37"/>
        <v>0</v>
      </c>
      <c r="K74" s="2"/>
      <c r="L74" s="7">
        <f t="shared" si="38"/>
        <v>35.28</v>
      </c>
      <c r="M74" s="2"/>
      <c r="N74" s="6">
        <f t="shared" si="39"/>
        <v>0</v>
      </c>
      <c r="O74" s="11"/>
      <c r="P74" s="7">
        <v>119.42</v>
      </c>
      <c r="Q74" s="2"/>
      <c r="R74" s="6">
        <f t="shared" si="40"/>
        <v>1.2268681998875476E-4</v>
      </c>
      <c r="S74" s="2"/>
      <c r="T74" s="7">
        <v>1359.88</v>
      </c>
      <c r="U74" s="2"/>
      <c r="V74" s="6">
        <f t="shared" si="41"/>
        <v>1.3028273656977823E-3</v>
      </c>
      <c r="W74" s="2"/>
      <c r="X74" s="7">
        <f t="shared" si="42"/>
        <v>-1240.46</v>
      </c>
      <c r="Y74" s="2"/>
      <c r="Z74" s="6">
        <f t="shared" si="43"/>
        <v>-0.91218342794952489</v>
      </c>
    </row>
    <row r="75" spans="1:26" s="27" customFormat="1" outlineLevel="1" collapsed="1" x14ac:dyDescent="0.25">
      <c r="A75" s="29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SUM(OSRRefD22_3x_0)</f>
        <v>0</v>
      </c>
      <c r="E75" s="1"/>
      <c r="F75" s="5">
        <f t="shared" si="36"/>
        <v>0</v>
      </c>
      <c r="G75" s="1"/>
      <c r="H75" s="1">
        <f>SUM(OSRRefH22_3x_0)</f>
        <v>0</v>
      </c>
      <c r="I75" s="1"/>
      <c r="J75" s="5">
        <f t="shared" si="37"/>
        <v>0</v>
      </c>
      <c r="K75" s="1"/>
      <c r="L75" s="1">
        <f t="shared" si="38"/>
        <v>0</v>
      </c>
      <c r="M75" s="1"/>
      <c r="N75" s="5">
        <f t="shared" si="39"/>
        <v>0</v>
      </c>
      <c r="O75" s="14"/>
      <c r="P75" s="1">
        <f>SUM(OSRRefP22_3x_0)</f>
        <v>0</v>
      </c>
      <c r="Q75" s="1"/>
      <c r="R75" s="5">
        <f t="shared" si="40"/>
        <v>0</v>
      </c>
      <c r="S75" s="1"/>
      <c r="T75" s="1">
        <f>SUM(OSRRefT22_3x_0)</f>
        <v>0</v>
      </c>
      <c r="U75" s="1"/>
      <c r="V75" s="5">
        <f t="shared" si="41"/>
        <v>0</v>
      </c>
      <c r="W75" s="1"/>
      <c r="X75" s="1">
        <f t="shared" si="42"/>
        <v>0</v>
      </c>
      <c r="Y75" s="1"/>
      <c r="Z75" s="5">
        <f t="shared" si="43"/>
        <v>0</v>
      </c>
    </row>
    <row r="76" spans="1:26" s="24" customFormat="1" hidden="1" outlineLevel="2" x14ac:dyDescent="0.25">
      <c r="A76" s="28"/>
      <c r="B76" s="11" t="str">
        <f>CONCATENATE("          ", "6382", " - ", "DISCOUNTS/MARK DOWNS")</f>
        <v xml:space="preserve">          6382 - DISCOUNTS/MARK DOWNS</v>
      </c>
      <c r="C76" s="11"/>
      <c r="D76" s="7"/>
      <c r="E76" s="2"/>
      <c r="F76" s="6">
        <f t="shared" si="36"/>
        <v>0</v>
      </c>
      <c r="G76" s="2"/>
      <c r="H76" s="7">
        <v>0</v>
      </c>
      <c r="I76" s="2"/>
      <c r="J76" s="6">
        <f t="shared" si="37"/>
        <v>0</v>
      </c>
      <c r="K76" s="2"/>
      <c r="L76" s="7">
        <f t="shared" si="38"/>
        <v>0</v>
      </c>
      <c r="M76" s="2"/>
      <c r="N76" s="6">
        <f t="shared" si="39"/>
        <v>0</v>
      </c>
      <c r="O76" s="11"/>
      <c r="P76" s="7"/>
      <c r="Q76" s="2"/>
      <c r="R76" s="6">
        <f t="shared" si="40"/>
        <v>0</v>
      </c>
      <c r="S76" s="2"/>
      <c r="T76" s="7">
        <v>0</v>
      </c>
      <c r="U76" s="2"/>
      <c r="V76" s="6">
        <f t="shared" si="41"/>
        <v>0</v>
      </c>
      <c r="W76" s="2"/>
      <c r="X76" s="7">
        <f t="shared" si="42"/>
        <v>0</v>
      </c>
      <c r="Y76" s="2"/>
      <c r="Z76" s="6">
        <f t="shared" si="43"/>
        <v>0</v>
      </c>
    </row>
    <row r="77" spans="1:26" s="27" customFormat="1" outlineLevel="1" collapsed="1" x14ac:dyDescent="0.25">
      <c r="A77" s="29"/>
      <c r="B77" s="14" t="str">
        <f>CONCATENATE("     ","Employees' Appreciation                           ")</f>
        <v xml:space="preserve">     Employees' Appreciation                           </v>
      </c>
      <c r="C77" s="14"/>
      <c r="D77" s="1">
        <f>SUM(OSRRefD22_4x_0)</f>
        <v>0</v>
      </c>
      <c r="E77" s="1"/>
      <c r="F77" s="5">
        <f t="shared" si="36"/>
        <v>0</v>
      </c>
      <c r="G77" s="1"/>
      <c r="H77" s="1">
        <f>SUM(OSRRefH22_4x_0)</f>
        <v>0</v>
      </c>
      <c r="I77" s="1"/>
      <c r="J77" s="5">
        <f t="shared" si="37"/>
        <v>0</v>
      </c>
      <c r="K77" s="1"/>
      <c r="L77" s="1">
        <f t="shared" si="38"/>
        <v>0</v>
      </c>
      <c r="M77" s="1"/>
      <c r="N77" s="5">
        <f t="shared" si="39"/>
        <v>0</v>
      </c>
      <c r="O77" s="14"/>
      <c r="P77" s="1">
        <f>SUM(OSRRefP22_4x_0)</f>
        <v>0</v>
      </c>
      <c r="Q77" s="1"/>
      <c r="R77" s="5">
        <f t="shared" si="40"/>
        <v>0</v>
      </c>
      <c r="S77" s="1"/>
      <c r="T77" s="1">
        <f>SUM(OSRRefT22_4x_0)</f>
        <v>107.7</v>
      </c>
      <c r="U77" s="1"/>
      <c r="V77" s="5">
        <f t="shared" si="41"/>
        <v>1.0318153608086827E-4</v>
      </c>
      <c r="W77" s="1"/>
      <c r="X77" s="1">
        <f t="shared" si="42"/>
        <v>-107.7</v>
      </c>
      <c r="Y77" s="1"/>
      <c r="Z77" s="5">
        <f t="shared" si="43"/>
        <v>-1</v>
      </c>
    </row>
    <row r="78" spans="1:26" s="24" customFormat="1" hidden="1" outlineLevel="2" x14ac:dyDescent="0.25">
      <c r="A78" s="28"/>
      <c r="B78" s="11" t="str">
        <f>CONCATENATE("          ", "6277", " - ", "EMPLOYEE APPRECIATION")</f>
        <v xml:space="preserve">          6277 - EMPLOYEE APPRECIATION</v>
      </c>
      <c r="C78" s="11"/>
      <c r="D78" s="7"/>
      <c r="E78" s="2"/>
      <c r="F78" s="6">
        <f t="shared" si="36"/>
        <v>0</v>
      </c>
      <c r="G78" s="2"/>
      <c r="H78" s="7"/>
      <c r="I78" s="2"/>
      <c r="J78" s="6">
        <f t="shared" si="37"/>
        <v>0</v>
      </c>
      <c r="K78" s="2"/>
      <c r="L78" s="7">
        <f t="shared" si="38"/>
        <v>0</v>
      </c>
      <c r="M78" s="2"/>
      <c r="N78" s="6">
        <f t="shared" si="39"/>
        <v>0</v>
      </c>
      <c r="O78" s="11"/>
      <c r="P78" s="7"/>
      <c r="Q78" s="2"/>
      <c r="R78" s="6">
        <f t="shared" si="40"/>
        <v>0</v>
      </c>
      <c r="S78" s="2"/>
      <c r="T78" s="7">
        <v>107.7</v>
      </c>
      <c r="U78" s="2"/>
      <c r="V78" s="6">
        <f t="shared" si="41"/>
        <v>1.0318153608086827E-4</v>
      </c>
      <c r="W78" s="2"/>
      <c r="X78" s="7">
        <f t="shared" si="42"/>
        <v>-107.7</v>
      </c>
      <c r="Y78" s="2"/>
      <c r="Z78" s="6">
        <f t="shared" si="43"/>
        <v>-1</v>
      </c>
    </row>
    <row r="79" spans="1:26" s="27" customFormat="1" outlineLevel="1" collapsed="1" x14ac:dyDescent="0.25">
      <c r="A79" s="29"/>
      <c r="B79" s="14" t="str">
        <f>CONCATENATE("     ","Equipment Rental                                  ")</f>
        <v xml:space="preserve">     Equipment Rental                                  </v>
      </c>
      <c r="C79" s="14"/>
      <c r="D79" s="1">
        <f>SUM(OSRRefD22_5x_0)</f>
        <v>91.26</v>
      </c>
      <c r="E79" s="1"/>
      <c r="F79" s="5">
        <f t="shared" si="36"/>
        <v>5.1634647357594375E-4</v>
      </c>
      <c r="G79" s="1"/>
      <c r="H79" s="1">
        <f>SUM(OSRRefH22_5x_0)</f>
        <v>91.26</v>
      </c>
      <c r="I79" s="1"/>
      <c r="J79" s="5">
        <f t="shared" si="37"/>
        <v>4.8288080146148966E-4</v>
      </c>
      <c r="K79" s="1"/>
      <c r="L79" s="1">
        <f t="shared" si="38"/>
        <v>0</v>
      </c>
      <c r="M79" s="1"/>
      <c r="N79" s="5">
        <f t="shared" si="39"/>
        <v>0</v>
      </c>
      <c r="O79" s="14"/>
      <c r="P79" s="1">
        <f>SUM(OSRRefP22_5x_0)</f>
        <v>273.77999999999997</v>
      </c>
      <c r="Q79" s="1"/>
      <c r="R79" s="5">
        <f t="shared" si="40"/>
        <v>2.812694488069107E-4</v>
      </c>
      <c r="S79" s="1"/>
      <c r="T79" s="1">
        <f>SUM(OSRRefT22_5x_0)</f>
        <v>273.77999999999997</v>
      </c>
      <c r="U79" s="1"/>
      <c r="V79" s="5">
        <f t="shared" si="41"/>
        <v>2.6229378782005673E-4</v>
      </c>
      <c r="W79" s="1"/>
      <c r="X79" s="1">
        <f t="shared" si="42"/>
        <v>0</v>
      </c>
      <c r="Y79" s="1"/>
      <c r="Z79" s="5">
        <f t="shared" si="43"/>
        <v>0</v>
      </c>
    </row>
    <row r="80" spans="1:26" s="24" customFormat="1" hidden="1" outlineLevel="2" x14ac:dyDescent="0.25">
      <c r="A80" s="28"/>
      <c r="B80" s="11" t="str">
        <f>CONCATENATE("          ", "6351", " - ", "EQUIPMENT RENTAL")</f>
        <v xml:space="preserve">          6351 - EQUIPMENT RENTAL</v>
      </c>
      <c r="C80" s="11"/>
      <c r="D80" s="7">
        <v>91.26</v>
      </c>
      <c r="E80" s="2"/>
      <c r="F80" s="6">
        <f t="shared" si="36"/>
        <v>5.1634647357594375E-4</v>
      </c>
      <c r="G80" s="2"/>
      <c r="H80" s="7">
        <v>91.26</v>
      </c>
      <c r="I80" s="2"/>
      <c r="J80" s="6">
        <f t="shared" si="37"/>
        <v>4.8288080146148966E-4</v>
      </c>
      <c r="K80" s="2"/>
      <c r="L80" s="7">
        <f t="shared" si="38"/>
        <v>0</v>
      </c>
      <c r="M80" s="2"/>
      <c r="N80" s="6">
        <f t="shared" si="39"/>
        <v>0</v>
      </c>
      <c r="O80" s="11"/>
      <c r="P80" s="7">
        <v>273.77999999999997</v>
      </c>
      <c r="Q80" s="2"/>
      <c r="R80" s="6">
        <f t="shared" si="40"/>
        <v>2.812694488069107E-4</v>
      </c>
      <c r="S80" s="2"/>
      <c r="T80" s="7">
        <v>273.77999999999997</v>
      </c>
      <c r="U80" s="2"/>
      <c r="V80" s="6">
        <f t="shared" si="41"/>
        <v>2.6229378782005673E-4</v>
      </c>
      <c r="W80" s="2"/>
      <c r="X80" s="7">
        <f t="shared" si="42"/>
        <v>0</v>
      </c>
      <c r="Y80" s="2"/>
      <c r="Z80" s="6">
        <f t="shared" si="43"/>
        <v>0</v>
      </c>
    </row>
    <row r="81" spans="1:26" s="27" customFormat="1" outlineLevel="1" collapsed="1" x14ac:dyDescent="0.25">
      <c r="A81" s="29"/>
      <c r="B81" s="14" t="str">
        <f>CONCATENATE("     ","Freight out/Postage                               ")</f>
        <v xml:space="preserve">     Freight out/Postage                               </v>
      </c>
      <c r="C81" s="14"/>
      <c r="D81" s="1">
        <f>SUM(OSRRefD22_6x_0)</f>
        <v>84.57</v>
      </c>
      <c r="E81" s="1"/>
      <c r="F81" s="5">
        <f t="shared" si="36"/>
        <v>4.7849464464516282E-4</v>
      </c>
      <c r="G81" s="1"/>
      <c r="H81" s="1">
        <f>SUM(OSRRefH22_6x_0)</f>
        <v>35.35</v>
      </c>
      <c r="I81" s="1"/>
      <c r="J81" s="5">
        <f t="shared" si="37"/>
        <v>1.8704620131123888E-4</v>
      </c>
      <c r="K81" s="1"/>
      <c r="L81" s="1">
        <f t="shared" si="38"/>
        <v>49.219999999999992</v>
      </c>
      <c r="M81" s="1"/>
      <c r="N81" s="5">
        <f t="shared" si="39"/>
        <v>1.3923620933521921</v>
      </c>
      <c r="O81" s="14"/>
      <c r="P81" s="1">
        <f>SUM(OSRRefP22_6x_0)</f>
        <v>380.54</v>
      </c>
      <c r="Q81" s="1"/>
      <c r="R81" s="5">
        <f t="shared" si="40"/>
        <v>3.9094994539039306E-4</v>
      </c>
      <c r="S81" s="1"/>
      <c r="T81" s="1">
        <f>SUM(OSRRefT22_6x_0)</f>
        <v>536.16</v>
      </c>
      <c r="U81" s="1"/>
      <c r="V81" s="5">
        <f t="shared" si="41"/>
        <v>5.1366585315801598E-4</v>
      </c>
      <c r="W81" s="1"/>
      <c r="X81" s="1">
        <f t="shared" si="42"/>
        <v>-155.61999999999995</v>
      </c>
      <c r="Y81" s="1"/>
      <c r="Z81" s="5">
        <f t="shared" si="43"/>
        <v>-0.29024917934944783</v>
      </c>
    </row>
    <row r="82" spans="1:26" s="24" customFormat="1" hidden="1" outlineLevel="2" x14ac:dyDescent="0.25">
      <c r="A82" s="28"/>
      <c r="B82" s="11" t="str">
        <f>CONCATENATE("          ", "6305", " - ", "FREIGHT OUT")</f>
        <v xml:space="preserve">          6305 - FREIGHT OUT</v>
      </c>
      <c r="C82" s="11"/>
      <c r="D82" s="7">
        <v>84.57</v>
      </c>
      <c r="E82" s="2"/>
      <c r="F82" s="6">
        <f t="shared" si="36"/>
        <v>4.7849464464516282E-4</v>
      </c>
      <c r="G82" s="2"/>
      <c r="H82" s="7">
        <v>35.35</v>
      </c>
      <c r="I82" s="2"/>
      <c r="J82" s="6">
        <f t="shared" si="37"/>
        <v>1.8704620131123888E-4</v>
      </c>
      <c r="K82" s="2"/>
      <c r="L82" s="7">
        <f t="shared" si="38"/>
        <v>49.219999999999992</v>
      </c>
      <c r="M82" s="2"/>
      <c r="N82" s="6">
        <f t="shared" si="39"/>
        <v>1.3923620933521921</v>
      </c>
      <c r="O82" s="11"/>
      <c r="P82" s="7">
        <v>380.54</v>
      </c>
      <c r="Q82" s="2"/>
      <c r="R82" s="6">
        <f t="shared" si="40"/>
        <v>3.9094994539039306E-4</v>
      </c>
      <c r="S82" s="2"/>
      <c r="T82" s="7">
        <v>536.16</v>
      </c>
      <c r="U82" s="2"/>
      <c r="V82" s="6">
        <f t="shared" si="41"/>
        <v>5.1366585315801598E-4</v>
      </c>
      <c r="W82" s="2"/>
      <c r="X82" s="7">
        <f t="shared" si="42"/>
        <v>-155.61999999999995</v>
      </c>
      <c r="Y82" s="2"/>
      <c r="Z82" s="6">
        <f t="shared" si="43"/>
        <v>-0.29024917934944783</v>
      </c>
    </row>
    <row r="83" spans="1:26" s="27" customFormat="1" outlineLevel="1" collapsed="1" x14ac:dyDescent="0.25">
      <c r="A83" s="29"/>
      <c r="B83" s="14" t="str">
        <f>CONCATENATE("     ","General                                           ")</f>
        <v xml:space="preserve">     General                                           </v>
      </c>
      <c r="C83" s="14"/>
      <c r="D83" s="1">
        <f>SUM(OSRRefD22_7x_0)</f>
        <v>0</v>
      </c>
      <c r="E83" s="1"/>
      <c r="F83" s="5">
        <f t="shared" si="36"/>
        <v>0</v>
      </c>
      <c r="G83" s="1"/>
      <c r="H83" s="1">
        <f>SUM(OSRRefH22_7x_0)</f>
        <v>0</v>
      </c>
      <c r="I83" s="1"/>
      <c r="J83" s="5">
        <f t="shared" si="37"/>
        <v>0</v>
      </c>
      <c r="K83" s="1"/>
      <c r="L83" s="1">
        <f t="shared" si="38"/>
        <v>0</v>
      </c>
      <c r="M83" s="1"/>
      <c r="N83" s="5">
        <f t="shared" si="39"/>
        <v>0</v>
      </c>
      <c r="O83" s="14"/>
      <c r="P83" s="1">
        <f>SUM(OSRRefP22_7x_0)</f>
        <v>0</v>
      </c>
      <c r="Q83" s="1"/>
      <c r="R83" s="5">
        <f t="shared" si="40"/>
        <v>0</v>
      </c>
      <c r="S83" s="1"/>
      <c r="T83" s="1">
        <f>SUM(OSRRefT22_7x_0)</f>
        <v>-4794.1899999999996</v>
      </c>
      <c r="U83" s="1"/>
      <c r="V83" s="5">
        <f t="shared" si="41"/>
        <v>-4.5930537461795519E-3</v>
      </c>
      <c r="W83" s="1"/>
      <c r="X83" s="1">
        <f t="shared" si="42"/>
        <v>4794.1899999999996</v>
      </c>
      <c r="Y83" s="1"/>
      <c r="Z83" s="5">
        <f t="shared" si="43"/>
        <v>-1</v>
      </c>
    </row>
    <row r="84" spans="1:26" s="24" customFormat="1" hidden="1" outlineLevel="2" x14ac:dyDescent="0.25">
      <c r="A84" s="28"/>
      <c r="B84" s="11" t="str">
        <f>CONCATENATE("          ", "6279", " - ", "GENERAL EXPENSE")</f>
        <v xml:space="preserve">          6279 - GENERAL EXPENSE</v>
      </c>
      <c r="C84" s="11"/>
      <c r="D84" s="7"/>
      <c r="E84" s="2"/>
      <c r="F84" s="6">
        <f t="shared" si="36"/>
        <v>0</v>
      </c>
      <c r="G84" s="2"/>
      <c r="H84" s="7"/>
      <c r="I84" s="2"/>
      <c r="J84" s="6">
        <f t="shared" si="37"/>
        <v>0</v>
      </c>
      <c r="K84" s="2"/>
      <c r="L84" s="7">
        <f t="shared" si="38"/>
        <v>0</v>
      </c>
      <c r="M84" s="2"/>
      <c r="N84" s="6">
        <f t="shared" si="39"/>
        <v>0</v>
      </c>
      <c r="O84" s="11"/>
      <c r="P84" s="7"/>
      <c r="Q84" s="2"/>
      <c r="R84" s="6">
        <f t="shared" si="40"/>
        <v>0</v>
      </c>
      <c r="S84" s="2"/>
      <c r="T84" s="7">
        <v>-4794.1899999999996</v>
      </c>
      <c r="U84" s="2"/>
      <c r="V84" s="6">
        <f t="shared" si="41"/>
        <v>-4.5930537461795519E-3</v>
      </c>
      <c r="W84" s="2"/>
      <c r="X84" s="7">
        <f t="shared" si="42"/>
        <v>4794.1899999999996</v>
      </c>
      <c r="Y84" s="2"/>
      <c r="Z84" s="6">
        <f t="shared" si="43"/>
        <v>-1</v>
      </c>
    </row>
    <row r="85" spans="1:26" s="27" customFormat="1" outlineLevel="1" collapsed="1" x14ac:dyDescent="0.25">
      <c r="A85" s="29"/>
      <c r="B85" s="14" t="str">
        <f>CONCATENATE("     ","Inventory Adjustment                              ")</f>
        <v xml:space="preserve">     Inventory Adjustment                              </v>
      </c>
      <c r="C85" s="14"/>
      <c r="D85" s="1">
        <f>SUM(OSRRefD22_8x_0)</f>
        <v>1000</v>
      </c>
      <c r="E85" s="1"/>
      <c r="F85" s="5">
        <f t="shared" si="36"/>
        <v>5.6579714395786074E-3</v>
      </c>
      <c r="G85" s="1"/>
      <c r="H85" s="1">
        <f>SUM(OSRRefH22_8x_0)</f>
        <v>1000</v>
      </c>
      <c r="I85" s="1"/>
      <c r="J85" s="5">
        <f t="shared" si="37"/>
        <v>5.2912645349713966E-3</v>
      </c>
      <c r="K85" s="1"/>
      <c r="L85" s="1">
        <f t="shared" si="38"/>
        <v>0</v>
      </c>
      <c r="M85" s="1"/>
      <c r="N85" s="5">
        <f t="shared" si="39"/>
        <v>0</v>
      </c>
      <c r="O85" s="14"/>
      <c r="P85" s="1">
        <f>SUM(OSRRefP22_8x_0)</f>
        <v>3000</v>
      </c>
      <c r="Q85" s="1"/>
      <c r="R85" s="5">
        <f t="shared" si="40"/>
        <v>3.0820671576474988E-3</v>
      </c>
      <c r="S85" s="1"/>
      <c r="T85" s="1">
        <f>SUM(OSRRefT22_8x_0)</f>
        <v>3000</v>
      </c>
      <c r="U85" s="1"/>
      <c r="V85" s="5">
        <f t="shared" si="41"/>
        <v>2.8741374952888097E-3</v>
      </c>
      <c r="W85" s="1"/>
      <c r="X85" s="1">
        <f t="shared" si="42"/>
        <v>0</v>
      </c>
      <c r="Y85" s="1"/>
      <c r="Z85" s="5">
        <f t="shared" si="43"/>
        <v>0</v>
      </c>
    </row>
    <row r="86" spans="1:26" s="24" customFormat="1" hidden="1" outlineLevel="2" x14ac:dyDescent="0.25">
      <c r="A86" s="28"/>
      <c r="B86" s="11" t="str">
        <f>CONCATENATE("          ", "6408", " - ", "INVENTORY ADJUSTMENT")</f>
        <v xml:space="preserve">          6408 - INVENTORY ADJUSTMENT</v>
      </c>
      <c r="C86" s="11"/>
      <c r="D86" s="7">
        <v>1000</v>
      </c>
      <c r="E86" s="2"/>
      <c r="F86" s="6">
        <f t="shared" si="36"/>
        <v>5.6579714395786074E-3</v>
      </c>
      <c r="G86" s="2"/>
      <c r="H86" s="7">
        <v>1000</v>
      </c>
      <c r="I86" s="2"/>
      <c r="J86" s="6">
        <f t="shared" si="37"/>
        <v>5.2912645349713966E-3</v>
      </c>
      <c r="K86" s="2"/>
      <c r="L86" s="7">
        <f t="shared" si="38"/>
        <v>0</v>
      </c>
      <c r="M86" s="2"/>
      <c r="N86" s="6">
        <f t="shared" si="39"/>
        <v>0</v>
      </c>
      <c r="O86" s="11"/>
      <c r="P86" s="7">
        <v>3000</v>
      </c>
      <c r="Q86" s="2"/>
      <c r="R86" s="6">
        <f t="shared" si="40"/>
        <v>3.0820671576474988E-3</v>
      </c>
      <c r="S86" s="2"/>
      <c r="T86" s="7">
        <v>3000</v>
      </c>
      <c r="U86" s="2"/>
      <c r="V86" s="6">
        <f t="shared" si="41"/>
        <v>2.8741374952888097E-3</v>
      </c>
      <c r="W86" s="2"/>
      <c r="X86" s="7">
        <f t="shared" si="42"/>
        <v>0</v>
      </c>
      <c r="Y86" s="2"/>
      <c r="Z86" s="6">
        <f t="shared" si="43"/>
        <v>0</v>
      </c>
    </row>
    <row r="87" spans="1:26" s="27" customFormat="1" outlineLevel="1" collapsed="1" x14ac:dyDescent="0.25">
      <c r="A87" s="29"/>
      <c r="B87" s="14" t="str">
        <f>CONCATENATE("     ","Repair and Maintenance                            ")</f>
        <v xml:space="preserve">     Repair and Maintenance                            </v>
      </c>
      <c r="C87" s="14"/>
      <c r="D87" s="1">
        <f>SUM(OSRRefD22_9x_0)</f>
        <v>0</v>
      </c>
      <c r="E87" s="1"/>
      <c r="F87" s="5">
        <f t="shared" si="36"/>
        <v>0</v>
      </c>
      <c r="G87" s="1"/>
      <c r="H87" s="1">
        <f>SUM(OSRRefH22_9x_0)</f>
        <v>68.94</v>
      </c>
      <c r="I87" s="1"/>
      <c r="J87" s="5">
        <f t="shared" si="37"/>
        <v>3.6477977704092805E-4</v>
      </c>
      <c r="K87" s="1"/>
      <c r="L87" s="1">
        <f t="shared" si="38"/>
        <v>-68.94</v>
      </c>
      <c r="M87" s="1"/>
      <c r="N87" s="5">
        <f t="shared" si="39"/>
        <v>-1</v>
      </c>
      <c r="O87" s="14"/>
      <c r="P87" s="1">
        <f>SUM(OSRRefP22_9x_0)</f>
        <v>2900.53</v>
      </c>
      <c r="Q87" s="1"/>
      <c r="R87" s="5">
        <f t="shared" si="40"/>
        <v>2.9798760842570998E-3</v>
      </c>
      <c r="S87" s="1"/>
      <c r="T87" s="1">
        <f>SUM(OSRRefT22_9x_0)</f>
        <v>91.8</v>
      </c>
      <c r="U87" s="1"/>
      <c r="V87" s="5">
        <f t="shared" si="41"/>
        <v>8.7948607355837571E-5</v>
      </c>
      <c r="W87" s="1"/>
      <c r="X87" s="1">
        <f t="shared" si="42"/>
        <v>2808.73</v>
      </c>
      <c r="Y87" s="1"/>
      <c r="Z87" s="5">
        <f t="shared" si="43"/>
        <v>30.596187363834424</v>
      </c>
    </row>
    <row r="88" spans="1:26" s="24" customFormat="1" hidden="1" outlineLevel="2" x14ac:dyDescent="0.25">
      <c r="A88" s="28"/>
      <c r="B88" s="11" t="str">
        <f>CONCATENATE("          ", "6371", " - ", "COMPUTER SOFTWARE MAINTENANCE")</f>
        <v xml:space="preserve">          6371 - COMPUTER SOFTWARE MAINTENANCE</v>
      </c>
      <c r="C88" s="11"/>
      <c r="D88" s="7"/>
      <c r="E88" s="2"/>
      <c r="F88" s="6">
        <f t="shared" si="36"/>
        <v>0</v>
      </c>
      <c r="G88" s="2"/>
      <c r="H88" s="7"/>
      <c r="I88" s="2"/>
      <c r="J88" s="6">
        <f t="shared" si="37"/>
        <v>0</v>
      </c>
      <c r="K88" s="2"/>
      <c r="L88" s="7">
        <f t="shared" si="38"/>
        <v>0</v>
      </c>
      <c r="M88" s="2"/>
      <c r="N88" s="6">
        <f t="shared" si="39"/>
        <v>0</v>
      </c>
      <c r="O88" s="11"/>
      <c r="P88" s="7">
        <v>2887.5</v>
      </c>
      <c r="Q88" s="2"/>
      <c r="R88" s="6">
        <f t="shared" si="40"/>
        <v>2.9664896392357174E-3</v>
      </c>
      <c r="S88" s="2"/>
      <c r="T88" s="7"/>
      <c r="U88" s="2"/>
      <c r="V88" s="6">
        <f t="shared" si="41"/>
        <v>0</v>
      </c>
      <c r="W88" s="2"/>
      <c r="X88" s="7">
        <f t="shared" si="42"/>
        <v>2887.5</v>
      </c>
      <c r="Y88" s="2"/>
      <c r="Z88" s="6">
        <f t="shared" si="43"/>
        <v>0</v>
      </c>
    </row>
    <row r="89" spans="1:26" s="24" customFormat="1" hidden="1" outlineLevel="2" x14ac:dyDescent="0.25">
      <c r="A89" s="28"/>
      <c r="B89" s="11" t="str">
        <f>CONCATENATE("          ", "6373", " - ", "MAINTENANCE CONTRACTS")</f>
        <v xml:space="preserve">          6373 - MAINTENANCE CONTRACTS</v>
      </c>
      <c r="C89" s="11"/>
      <c r="D89" s="7"/>
      <c r="E89" s="2"/>
      <c r="F89" s="6">
        <f t="shared" si="36"/>
        <v>0</v>
      </c>
      <c r="G89" s="2"/>
      <c r="H89" s="7">
        <v>43.83</v>
      </c>
      <c r="I89" s="2"/>
      <c r="J89" s="6">
        <f t="shared" si="37"/>
        <v>2.319161245677963E-4</v>
      </c>
      <c r="K89" s="2"/>
      <c r="L89" s="7">
        <f t="shared" si="38"/>
        <v>-43.83</v>
      </c>
      <c r="M89" s="2"/>
      <c r="N89" s="6">
        <f t="shared" si="39"/>
        <v>-1</v>
      </c>
      <c r="O89" s="11"/>
      <c r="P89" s="7">
        <v>13.03</v>
      </c>
      <c r="Q89" s="2"/>
      <c r="R89" s="6">
        <f t="shared" si="40"/>
        <v>1.3386445021382302E-5</v>
      </c>
      <c r="S89" s="2"/>
      <c r="T89" s="7">
        <v>66.69</v>
      </c>
      <c r="U89" s="2"/>
      <c r="V89" s="6">
        <f t="shared" si="41"/>
        <v>6.3892076520270241E-5</v>
      </c>
      <c r="W89" s="2"/>
      <c r="X89" s="7">
        <f t="shared" si="42"/>
        <v>-53.66</v>
      </c>
      <c r="Y89" s="2"/>
      <c r="Z89" s="6">
        <f t="shared" si="43"/>
        <v>-0.80461838356575199</v>
      </c>
    </row>
    <row r="90" spans="1:26" s="24" customFormat="1" hidden="1" outlineLevel="2" x14ac:dyDescent="0.25">
      <c r="A90" s="28"/>
      <c r="B90" s="11" t="str">
        <f>CONCATENATE("          ", "6375", " - ", "OUTSIDE REPAIRS &amp; MAINTENANCE")</f>
        <v xml:space="preserve">          6375 - OUTSIDE REPAIRS &amp; MAINTENANCE</v>
      </c>
      <c r="C90" s="11"/>
      <c r="D90" s="7"/>
      <c r="E90" s="2"/>
      <c r="F90" s="6">
        <f t="shared" si="36"/>
        <v>0</v>
      </c>
      <c r="G90" s="2"/>
      <c r="H90" s="7">
        <v>25.11</v>
      </c>
      <c r="I90" s="2"/>
      <c r="J90" s="6">
        <f t="shared" si="37"/>
        <v>1.3286365247313175E-4</v>
      </c>
      <c r="K90" s="2"/>
      <c r="L90" s="7">
        <f t="shared" si="38"/>
        <v>-25.11</v>
      </c>
      <c r="M90" s="2"/>
      <c r="N90" s="6">
        <f t="shared" si="39"/>
        <v>-1</v>
      </c>
      <c r="O90" s="11"/>
      <c r="P90" s="7"/>
      <c r="Q90" s="2"/>
      <c r="R90" s="6">
        <f t="shared" si="40"/>
        <v>0</v>
      </c>
      <c r="S90" s="2"/>
      <c r="T90" s="7">
        <v>25.11</v>
      </c>
      <c r="U90" s="2"/>
      <c r="V90" s="6">
        <f t="shared" si="41"/>
        <v>2.4056530835567334E-5</v>
      </c>
      <c r="W90" s="2"/>
      <c r="X90" s="7">
        <f t="shared" si="42"/>
        <v>-25.11</v>
      </c>
      <c r="Y90" s="2"/>
      <c r="Z90" s="6">
        <f t="shared" si="43"/>
        <v>-1</v>
      </c>
    </row>
    <row r="91" spans="1:26" s="27" customFormat="1" outlineLevel="1" collapsed="1" x14ac:dyDescent="0.25">
      <c r="A91" s="29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1">
        <f>SUM(OSRRefD22_10x_0)</f>
        <v>47.44</v>
      </c>
      <c r="E91" s="1"/>
      <c r="F91" s="5">
        <f t="shared" ref="F91:F95" si="44">IF(D$12=0,0,D91/D$12)</f>
        <v>2.6841416509360911E-4</v>
      </c>
      <c r="G91" s="1"/>
      <c r="H91" s="1">
        <f>SUM(OSRRefH22_10x_0)</f>
        <v>73.040000000000006</v>
      </c>
      <c r="I91" s="1"/>
      <c r="J91" s="5">
        <f t="shared" ref="J91:J95" si="45">IF(H$12=0,0,H91/H$12)</f>
        <v>3.8647396163431083E-4</v>
      </c>
      <c r="K91" s="1"/>
      <c r="L91" s="1">
        <f t="shared" ref="L91:L95" si="46">+D91-H91</f>
        <v>-25.600000000000009</v>
      </c>
      <c r="M91" s="1"/>
      <c r="N91" s="5">
        <f t="shared" ref="N91:N95" si="47">IF(H91=0,0,L91/H91)</f>
        <v>-0.35049288061336265</v>
      </c>
      <c r="O91" s="14"/>
      <c r="P91" s="1">
        <f>SUM(OSRRefP22_10x_0)</f>
        <v>172.76</v>
      </c>
      <c r="Q91" s="1"/>
      <c r="R91" s="5">
        <f t="shared" ref="R91:R95" si="48">IF(P$12=0,0,P91/P$12)</f>
        <v>1.7748597405172728E-4</v>
      </c>
      <c r="S91" s="1"/>
      <c r="T91" s="1">
        <f>SUM(OSRRefT22_10x_0)</f>
        <v>633.04</v>
      </c>
      <c r="U91" s="1"/>
      <c r="V91" s="5">
        <f t="shared" ref="V91:V95" si="49">IF(T$12=0,0,T91/T$12)</f>
        <v>6.0648133333920929E-4</v>
      </c>
      <c r="W91" s="1"/>
      <c r="X91" s="1">
        <f t="shared" ref="X91:X95" si="50">+P91-T91</f>
        <v>-460.28</v>
      </c>
      <c r="Y91" s="1"/>
      <c r="Z91" s="5">
        <f t="shared" ref="Z91:Z95" si="51">IF(T91=0,0,X91/T91)</f>
        <v>-0.72709465436623277</v>
      </c>
    </row>
    <row r="92" spans="1:26" s="24" customFormat="1" hidden="1" outlineLevel="2" x14ac:dyDescent="0.25">
      <c r="A92" s="28"/>
      <c r="B92" s="11" t="str">
        <f>CONCATENATE("          ", "6258", " - ", "MEMBERSHIP DUES")</f>
        <v xml:space="preserve">          6258 - MEMBERSHIP DUES</v>
      </c>
      <c r="C92" s="11"/>
      <c r="D92" s="7">
        <v>47.44</v>
      </c>
      <c r="E92" s="2"/>
      <c r="F92" s="6">
        <f t="shared" si="44"/>
        <v>2.6841416509360911E-4</v>
      </c>
      <c r="G92" s="2"/>
      <c r="H92" s="7">
        <v>73.040000000000006</v>
      </c>
      <c r="I92" s="2"/>
      <c r="J92" s="6">
        <f t="shared" si="45"/>
        <v>3.8647396163431083E-4</v>
      </c>
      <c r="K92" s="2"/>
      <c r="L92" s="7">
        <f t="shared" si="46"/>
        <v>-25.600000000000009</v>
      </c>
      <c r="M92" s="2"/>
      <c r="N92" s="6">
        <f t="shared" si="47"/>
        <v>-0.35049288061336265</v>
      </c>
      <c r="O92" s="11"/>
      <c r="P92" s="7">
        <v>172.76</v>
      </c>
      <c r="Q92" s="2"/>
      <c r="R92" s="6">
        <f t="shared" si="48"/>
        <v>1.7748597405172728E-4</v>
      </c>
      <c r="S92" s="2"/>
      <c r="T92" s="7">
        <v>633.04</v>
      </c>
      <c r="U92" s="2"/>
      <c r="V92" s="6">
        <f t="shared" si="49"/>
        <v>6.0648133333920929E-4</v>
      </c>
      <c r="W92" s="2"/>
      <c r="X92" s="7">
        <f t="shared" si="50"/>
        <v>-460.28</v>
      </c>
      <c r="Y92" s="2"/>
      <c r="Z92" s="6">
        <f t="shared" si="51"/>
        <v>-0.72709465436623277</v>
      </c>
    </row>
    <row r="93" spans="1:26" s="27" customFormat="1" outlineLevel="1" collapsed="1" x14ac:dyDescent="0.25">
      <c r="A93" s="29"/>
      <c r="B93" s="14" t="str">
        <f>CONCATENATE("     ","Supplies                                          ")</f>
        <v xml:space="preserve">     Supplies                                          </v>
      </c>
      <c r="C93" s="14"/>
      <c r="D93" s="1">
        <f>SUM(OSRRefD22_11x_0)</f>
        <v>8.5399999999999991</v>
      </c>
      <c r="E93" s="1"/>
      <c r="F93" s="5">
        <f t="shared" si="44"/>
        <v>4.8319076094001301E-5</v>
      </c>
      <c r="G93" s="1"/>
      <c r="H93" s="1">
        <f>SUM(OSRRefH22_11x_0)</f>
        <v>98.81</v>
      </c>
      <c r="I93" s="1"/>
      <c r="J93" s="5">
        <f t="shared" si="45"/>
        <v>5.2282984870052364E-4</v>
      </c>
      <c r="K93" s="1"/>
      <c r="L93" s="1">
        <f t="shared" si="46"/>
        <v>-90.27000000000001</v>
      </c>
      <c r="M93" s="1"/>
      <c r="N93" s="5">
        <f t="shared" si="47"/>
        <v>-0.91357150086023686</v>
      </c>
      <c r="O93" s="14"/>
      <c r="P93" s="1">
        <f>SUM(OSRRefP22_11x_0)</f>
        <v>609.89</v>
      </c>
      <c r="Q93" s="1"/>
      <c r="R93" s="5">
        <f t="shared" si="48"/>
        <v>6.2657397959254429E-4</v>
      </c>
      <c r="S93" s="1"/>
      <c r="T93" s="1">
        <f>SUM(OSRRefT22_11x_0)</f>
        <v>1088.97</v>
      </c>
      <c r="U93" s="1"/>
      <c r="V93" s="5">
        <f t="shared" si="49"/>
        <v>1.043283169414885E-3</v>
      </c>
      <c r="W93" s="1"/>
      <c r="X93" s="1">
        <f t="shared" si="50"/>
        <v>-479.08000000000004</v>
      </c>
      <c r="Y93" s="1"/>
      <c r="Z93" s="5">
        <f t="shared" si="51"/>
        <v>-0.43993865763060508</v>
      </c>
    </row>
    <row r="94" spans="1:26" s="24" customFormat="1" hidden="1" outlineLevel="2" x14ac:dyDescent="0.25">
      <c r="A94" s="28"/>
      <c r="B94" s="11" t="str">
        <f>CONCATENATE("          ", "6241", " - ", "OFFICE EXPENSE")</f>
        <v xml:space="preserve">          6241 - OFFICE EXPENSE</v>
      </c>
      <c r="C94" s="11"/>
      <c r="D94" s="7">
        <v>8.5399999999999991</v>
      </c>
      <c r="E94" s="2"/>
      <c r="F94" s="6">
        <f t="shared" si="44"/>
        <v>4.8319076094001301E-5</v>
      </c>
      <c r="G94" s="2"/>
      <c r="H94" s="7">
        <v>98.81</v>
      </c>
      <c r="I94" s="2"/>
      <c r="J94" s="6">
        <f t="shared" si="45"/>
        <v>5.2282984870052364E-4</v>
      </c>
      <c r="K94" s="2"/>
      <c r="L94" s="7">
        <f t="shared" si="46"/>
        <v>-90.27000000000001</v>
      </c>
      <c r="M94" s="2"/>
      <c r="N94" s="6">
        <f t="shared" si="47"/>
        <v>-0.91357150086023686</v>
      </c>
      <c r="O94" s="11"/>
      <c r="P94" s="7">
        <v>609.89</v>
      </c>
      <c r="Q94" s="2"/>
      <c r="R94" s="6">
        <f t="shared" si="48"/>
        <v>6.2657397959254429E-4</v>
      </c>
      <c r="S94" s="2"/>
      <c r="T94" s="7">
        <v>455.87</v>
      </c>
      <c r="U94" s="2"/>
      <c r="V94" s="6">
        <f t="shared" si="49"/>
        <v>4.3674435332576988E-4</v>
      </c>
      <c r="W94" s="2"/>
      <c r="X94" s="7">
        <f t="shared" si="50"/>
        <v>154.01999999999998</v>
      </c>
      <c r="Y94" s="2"/>
      <c r="Z94" s="6">
        <f t="shared" si="51"/>
        <v>0.33785947748261563</v>
      </c>
    </row>
    <row r="95" spans="1:26" s="24" customFormat="1" hidden="1" outlineLevel="2" x14ac:dyDescent="0.25">
      <c r="A95" s="28"/>
      <c r="B95" s="11" t="str">
        <f>CONCATENATE("          ", "6247", " - ", "STORE SUPPLIES")</f>
        <v xml:space="preserve">          6247 - STORE SUPPLIES</v>
      </c>
      <c r="C95" s="11"/>
      <c r="D95" s="7"/>
      <c r="E95" s="2"/>
      <c r="F95" s="6">
        <f t="shared" si="44"/>
        <v>0</v>
      </c>
      <c r="G95" s="2"/>
      <c r="H95" s="7"/>
      <c r="I95" s="2"/>
      <c r="J95" s="6">
        <f t="shared" si="45"/>
        <v>0</v>
      </c>
      <c r="K95" s="2"/>
      <c r="L95" s="7">
        <f t="shared" si="46"/>
        <v>0</v>
      </c>
      <c r="M95" s="2"/>
      <c r="N95" s="6">
        <f t="shared" si="47"/>
        <v>0</v>
      </c>
      <c r="O95" s="11"/>
      <c r="P95" s="7"/>
      <c r="Q95" s="2"/>
      <c r="R95" s="6">
        <f t="shared" si="48"/>
        <v>0</v>
      </c>
      <c r="S95" s="2"/>
      <c r="T95" s="7">
        <v>633.1</v>
      </c>
      <c r="U95" s="2"/>
      <c r="V95" s="6">
        <f t="shared" si="49"/>
        <v>6.0653881608911512E-4</v>
      </c>
      <c r="W95" s="2"/>
      <c r="X95" s="7">
        <f t="shared" si="50"/>
        <v>-633.1</v>
      </c>
      <c r="Y95" s="2"/>
      <c r="Z95" s="6">
        <f t="shared" si="51"/>
        <v>-1</v>
      </c>
    </row>
    <row r="96" spans="1:26" s="27" customFormat="1" outlineLevel="1" collapsed="1" x14ac:dyDescent="0.25">
      <c r="A96" s="29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SUM(OSRRefD22_12x_0)</f>
        <v>414.85</v>
      </c>
      <c r="E96" s="1"/>
      <c r="F96" s="5">
        <f t="shared" ref="F96:F98" si="52">IF(D$12=0,0,D96/D$12)</f>
        <v>2.3472094517091855E-3</v>
      </c>
      <c r="G96" s="1"/>
      <c r="H96" s="1">
        <f>SUM(OSRRefH22_12x_0)</f>
        <v>2635</v>
      </c>
      <c r="I96" s="1"/>
      <c r="J96" s="5">
        <f t="shared" ref="J96:J98" si="53">IF(H$12=0,0,H96/H$12)</f>
        <v>1.3942482049649629E-2</v>
      </c>
      <c r="K96" s="1"/>
      <c r="L96" s="1">
        <f t="shared" ref="L96:L98" si="54">+D96-H96</f>
        <v>-2220.15</v>
      </c>
      <c r="M96" s="1"/>
      <c r="N96" s="5">
        <f t="shared" ref="N96:N98" si="55">IF(H96=0,0,L96/H96)</f>
        <v>-0.84256166982922209</v>
      </c>
      <c r="O96" s="14"/>
      <c r="P96" s="1">
        <f>SUM(OSRRefP22_12x_0)</f>
        <v>1843.15</v>
      </c>
      <c r="Q96" s="1"/>
      <c r="R96" s="5">
        <f t="shared" ref="R96:R98" si="56">IF(P$12=0,0,P96/P$12)</f>
        <v>1.8935706938726625E-3</v>
      </c>
      <c r="S96" s="1"/>
      <c r="T96" s="1">
        <f>SUM(OSRRefT22_12x_0)</f>
        <v>3868.3</v>
      </c>
      <c r="U96" s="1"/>
      <c r="V96" s="5">
        <f t="shared" ref="V96:V98" si="57">IF(T$12=0,0,T96/T$12)</f>
        <v>3.7060086910085674E-3</v>
      </c>
      <c r="W96" s="1"/>
      <c r="X96" s="1">
        <f t="shared" ref="X96:X98" si="58">+P96-T96</f>
        <v>-2025.15</v>
      </c>
      <c r="Y96" s="1"/>
      <c r="Z96" s="5">
        <f t="shared" ref="Z96:Z98" si="59">IF(T96=0,0,X96/T96)</f>
        <v>-0.52352454566605489</v>
      </c>
    </row>
    <row r="97" spans="1:26" s="24" customFormat="1" hidden="1" outlineLevel="2" x14ac:dyDescent="0.25">
      <c r="A97" s="28"/>
      <c r="B97" s="11" t="str">
        <f>CONCATENATE("          ", "6303", " - ", "DATA PHONE LINES")</f>
        <v xml:space="preserve">          6303 - DATA PHONE LINES</v>
      </c>
      <c r="C97" s="11"/>
      <c r="D97" s="7"/>
      <c r="E97" s="2"/>
      <c r="F97" s="6">
        <f t="shared" si="52"/>
        <v>0</v>
      </c>
      <c r="G97" s="2"/>
      <c r="H97" s="7">
        <v>885</v>
      </c>
      <c r="I97" s="2"/>
      <c r="J97" s="6">
        <f t="shared" si="53"/>
        <v>4.6827691134496852E-3</v>
      </c>
      <c r="K97" s="2"/>
      <c r="L97" s="7">
        <f t="shared" si="54"/>
        <v>-885</v>
      </c>
      <c r="M97" s="2"/>
      <c r="N97" s="6">
        <f t="shared" si="55"/>
        <v>-1</v>
      </c>
      <c r="O97" s="11"/>
      <c r="P97" s="7">
        <v>295</v>
      </c>
      <c r="Q97" s="2"/>
      <c r="R97" s="6">
        <f t="shared" si="56"/>
        <v>3.0306993716867068E-4</v>
      </c>
      <c r="S97" s="2"/>
      <c r="T97" s="7">
        <v>1180</v>
      </c>
      <c r="U97" s="2"/>
      <c r="V97" s="6">
        <f t="shared" si="57"/>
        <v>1.1304940814802651E-3</v>
      </c>
      <c r="W97" s="2"/>
      <c r="X97" s="7">
        <f t="shared" si="58"/>
        <v>-885</v>
      </c>
      <c r="Y97" s="2"/>
      <c r="Z97" s="6">
        <f t="shared" si="59"/>
        <v>-0.75</v>
      </c>
    </row>
    <row r="98" spans="1:26" s="24" customFormat="1" hidden="1" outlineLevel="2" x14ac:dyDescent="0.25">
      <c r="A98" s="28"/>
      <c r="B98" s="11" t="str">
        <f>CONCATENATE("          ", "6309", " - ", "TELEPHONE")</f>
        <v xml:space="preserve">          6309 - TELEPHONE</v>
      </c>
      <c r="C98" s="11"/>
      <c r="D98" s="7">
        <v>414.85</v>
      </c>
      <c r="E98" s="2"/>
      <c r="F98" s="6">
        <f t="shared" si="52"/>
        <v>2.3472094517091855E-3</v>
      </c>
      <c r="G98" s="2"/>
      <c r="H98" s="7">
        <v>1750</v>
      </c>
      <c r="I98" s="2"/>
      <c r="J98" s="6">
        <f t="shared" si="53"/>
        <v>9.2597129361999438E-3</v>
      </c>
      <c r="K98" s="2"/>
      <c r="L98" s="7">
        <f t="shared" si="54"/>
        <v>-1335.15</v>
      </c>
      <c r="M98" s="2"/>
      <c r="N98" s="6">
        <f t="shared" si="55"/>
        <v>-0.76294285714285714</v>
      </c>
      <c r="O98" s="11"/>
      <c r="P98" s="7">
        <v>1548.15</v>
      </c>
      <c r="Q98" s="2"/>
      <c r="R98" s="6">
        <f t="shared" si="56"/>
        <v>1.5905007567039917E-3</v>
      </c>
      <c r="S98" s="2"/>
      <c r="T98" s="7">
        <v>2688.3</v>
      </c>
      <c r="U98" s="2"/>
      <c r="V98" s="6">
        <f t="shared" si="57"/>
        <v>2.5755146095283025E-3</v>
      </c>
      <c r="W98" s="2"/>
      <c r="X98" s="7">
        <f t="shared" si="58"/>
        <v>-1140.1500000000001</v>
      </c>
      <c r="Y98" s="2"/>
      <c r="Z98" s="6">
        <f t="shared" si="59"/>
        <v>-0.42411561209686421</v>
      </c>
    </row>
    <row r="99" spans="1:26" s="27" customFormat="1" outlineLevel="1" collapsed="1" x14ac:dyDescent="0.25">
      <c r="A99" s="29"/>
      <c r="B99" s="14" t="str">
        <f>CONCATENATE("     ","Travel                                            ")</f>
        <v xml:space="preserve">     Travel                                            </v>
      </c>
      <c r="C99" s="14"/>
      <c r="D99" s="1">
        <f>SUM(OSRRefD22_13x_0)</f>
        <v>0</v>
      </c>
      <c r="E99" s="1"/>
      <c r="F99" s="5">
        <f t="shared" ref="F99:F100" si="60">IF(D$12=0,0,D99/D$12)</f>
        <v>0</v>
      </c>
      <c r="G99" s="1"/>
      <c r="H99" s="1">
        <f>SUM(OSRRefH22_13x_0)</f>
        <v>0</v>
      </c>
      <c r="I99" s="1"/>
      <c r="J99" s="5">
        <f t="shared" ref="J99:J100" si="61">IF(H$12=0,0,H99/H$12)</f>
        <v>0</v>
      </c>
      <c r="K99" s="1"/>
      <c r="L99" s="1">
        <f t="shared" ref="L99:L100" si="62">+D99-H99</f>
        <v>0</v>
      </c>
      <c r="M99" s="1"/>
      <c r="N99" s="5">
        <f t="shared" ref="N99:N100" si="63">IF(H99=0,0,L99/H99)</f>
        <v>0</v>
      </c>
      <c r="O99" s="14"/>
      <c r="P99" s="1">
        <f>SUM(OSRRefP22_13x_0)</f>
        <v>0</v>
      </c>
      <c r="Q99" s="1"/>
      <c r="R99" s="5">
        <f t="shared" ref="R99:R100" si="64">IF(P$12=0,0,P99/P$12)</f>
        <v>0</v>
      </c>
      <c r="S99" s="1"/>
      <c r="T99" s="1">
        <f>SUM(OSRRefT22_13x_0)</f>
        <v>0.16</v>
      </c>
      <c r="U99" s="1"/>
      <c r="V99" s="5">
        <f t="shared" ref="V99:V100" si="65">IF(T$12=0,0,T99/T$12)</f>
        <v>1.5328733308206985E-7</v>
      </c>
      <c r="W99" s="1"/>
      <c r="X99" s="1">
        <f t="shared" ref="X99:X100" si="66">+P99-T99</f>
        <v>-0.16</v>
      </c>
      <c r="Y99" s="1"/>
      <c r="Z99" s="5">
        <f t="shared" ref="Z99:Z100" si="67">IF(T99=0,0,X99/T99)</f>
        <v>-1</v>
      </c>
    </row>
    <row r="100" spans="1:26" s="24" customFormat="1" hidden="1" outlineLevel="2" x14ac:dyDescent="0.25">
      <c r="A100" s="28"/>
      <c r="B100" s="11" t="str">
        <f>CONCATENATE("          ", "6292", " - ", "TRAVEL/CONFERENCE")</f>
        <v xml:space="preserve">          6292 - TRAVEL/CONFERENCE</v>
      </c>
      <c r="C100" s="11"/>
      <c r="D100" s="7"/>
      <c r="E100" s="2"/>
      <c r="F100" s="6">
        <f t="shared" si="60"/>
        <v>0</v>
      </c>
      <c r="G100" s="2"/>
      <c r="H100" s="7"/>
      <c r="I100" s="2"/>
      <c r="J100" s="6">
        <f t="shared" si="61"/>
        <v>0</v>
      </c>
      <c r="K100" s="2"/>
      <c r="L100" s="7">
        <f t="shared" si="62"/>
        <v>0</v>
      </c>
      <c r="M100" s="2"/>
      <c r="N100" s="6">
        <f t="shared" si="63"/>
        <v>0</v>
      </c>
      <c r="O100" s="11"/>
      <c r="P100" s="7"/>
      <c r="Q100" s="2"/>
      <c r="R100" s="6">
        <f t="shared" si="64"/>
        <v>0</v>
      </c>
      <c r="S100" s="2"/>
      <c r="T100" s="7">
        <v>0.16</v>
      </c>
      <c r="U100" s="2"/>
      <c r="V100" s="6">
        <f t="shared" si="65"/>
        <v>1.5328733308206985E-7</v>
      </c>
      <c r="W100" s="2"/>
      <c r="X100" s="7">
        <f t="shared" si="66"/>
        <v>-0.16</v>
      </c>
      <c r="Y100" s="2"/>
      <c r="Z100" s="6">
        <f t="shared" si="67"/>
        <v>-1</v>
      </c>
    </row>
    <row r="101" spans="1:26" s="54" customFormat="1" x14ac:dyDescent="0.25">
      <c r="A101" s="37"/>
      <c r="B101" s="37"/>
      <c r="C101" s="37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7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25">
      <c r="A102" s="10"/>
      <c r="B102" s="26" t="s">
        <v>292</v>
      </c>
      <c r="C102" s="10"/>
      <c r="D102" s="4">
        <f>SUM(OSRRefD25x_0)</f>
        <v>158981.44999999998</v>
      </c>
      <c r="E102" s="4"/>
      <c r="F102" s="12">
        <f t="shared" ref="F102:F105" si="68">IF(D$12=0,0,D102/D$12)</f>
        <v>0.89951250352279433</v>
      </c>
      <c r="G102" s="4"/>
      <c r="H102" s="4">
        <f>SUM(OSRRefH25x_0)</f>
        <v>156953.37</v>
      </c>
      <c r="I102" s="4"/>
      <c r="J102" s="12">
        <f t="shared" ref="J102:J105" si="69">IF(H$12=0,0,H102/H$12)</f>
        <v>0.83048180032524344</v>
      </c>
      <c r="K102" s="4"/>
      <c r="L102" s="4">
        <f t="shared" ref="L102:L105" si="70">+D102-H102</f>
        <v>2028.0799999999872</v>
      </c>
      <c r="M102" s="4"/>
      <c r="N102" s="12">
        <f t="shared" ref="N102:N105" si="71">IF(H102=0,0,L102/H102)</f>
        <v>1.2921544787474058E-2</v>
      </c>
      <c r="O102" s="10"/>
      <c r="P102" s="4">
        <f>SUM(OSRRefP25x_0)</f>
        <v>187956.47999999998</v>
      </c>
      <c r="Q102" s="4"/>
      <c r="R102" s="12">
        <f t="shared" ref="R102:R105" si="72">IF(P$12=0,0,P102/P$12)</f>
        <v>0.19309816469167629</v>
      </c>
      <c r="S102" s="4"/>
      <c r="T102" s="4">
        <f>SUM(OSRRefT25x_0)</f>
        <v>160900.78000000003</v>
      </c>
      <c r="U102" s="4"/>
      <c r="V102" s="12">
        <f t="shared" ref="V102:V105" si="73">IF(T$12=0,0,T102/T$12)</f>
        <v>0.15415032160640529</v>
      </c>
      <c r="W102" s="4"/>
      <c r="X102" s="4">
        <f t="shared" ref="X102:X105" si="74">+P102-T102</f>
        <v>27055.699999999953</v>
      </c>
      <c r="Y102" s="4"/>
      <c r="Z102" s="12">
        <f t="shared" ref="Z102:Z105" si="75">IF(T102=0,0,X102/T102)</f>
        <v>0.16815145333664602</v>
      </c>
    </row>
    <row r="103" spans="1:26" s="24" customFormat="1" hidden="1" outlineLevel="1" x14ac:dyDescent="0.25">
      <c r="A103" s="44"/>
      <c r="B103" s="11" t="str">
        <f>CONCATENATE("          ", "9150", " - ", "MISC. INCOME")</f>
        <v xml:space="preserve">          9150 - MISC. INCOME</v>
      </c>
      <c r="C103" s="11"/>
      <c r="D103" s="2">
        <f>--1139.37</f>
        <v>1139.3699999999999</v>
      </c>
      <c r="E103" s="2"/>
      <c r="F103" s="19">
        <f t="shared" si="68"/>
        <v>6.4465229191126771E-3</v>
      </c>
      <c r="G103" s="2"/>
      <c r="H103" s="2">
        <f>--9125.43</f>
        <v>9125.43</v>
      </c>
      <c r="I103" s="2"/>
      <c r="J103" s="19">
        <f t="shared" si="69"/>
        <v>4.8285064125364027E-2</v>
      </c>
      <c r="K103" s="2"/>
      <c r="L103" s="2">
        <f t="shared" si="70"/>
        <v>-7986.06</v>
      </c>
      <c r="M103" s="2"/>
      <c r="N103" s="19">
        <f t="shared" si="71"/>
        <v>-0.87514341789921135</v>
      </c>
      <c r="O103" s="11"/>
      <c r="P103" s="2">
        <f>--17555.01</f>
        <v>17555.009999999998</v>
      </c>
      <c r="Q103" s="2"/>
      <c r="R103" s="19">
        <f t="shared" si="72"/>
        <v>1.8035239924391138E-2</v>
      </c>
      <c r="S103" s="2"/>
      <c r="T103" s="2">
        <f>--11526.45</f>
        <v>11526.45</v>
      </c>
      <c r="U103" s="2"/>
      <c r="V103" s="19">
        <f t="shared" si="73"/>
        <v>1.1042867377523901E-2</v>
      </c>
      <c r="W103" s="2"/>
      <c r="X103" s="2">
        <f t="shared" si="74"/>
        <v>6028.5599999999977</v>
      </c>
      <c r="Y103" s="2"/>
      <c r="Z103" s="19">
        <f t="shared" si="75"/>
        <v>0.52301966346967166</v>
      </c>
    </row>
    <row r="104" spans="1:26" s="24" customFormat="1" hidden="1" outlineLevel="1" x14ac:dyDescent="0.25">
      <c r="A104" s="44"/>
      <c r="B104" s="11" t="str">
        <f>CONCATENATE("          ", "9151", " - ", "MISC. INCOME")</f>
        <v xml:space="preserve">          9151 - MISC. INCOME</v>
      </c>
      <c r="C104" s="11"/>
      <c r="D104" s="2">
        <f>--156907</f>
        <v>156907</v>
      </c>
      <c r="E104" s="2"/>
      <c r="F104" s="19">
        <f t="shared" si="68"/>
        <v>0.88777532466996056</v>
      </c>
      <c r="G104" s="2"/>
      <c r="H104" s="2">
        <f>--147285.39</f>
        <v>147285.39000000001</v>
      </c>
      <c r="I104" s="2"/>
      <c r="J104" s="19">
        <f t="shared" si="69"/>
        <v>0.77932596062643078</v>
      </c>
      <c r="K104" s="2"/>
      <c r="L104" s="2">
        <f t="shared" si="70"/>
        <v>9621.609999999986</v>
      </c>
      <c r="M104" s="2"/>
      <c r="N104" s="19">
        <f t="shared" si="71"/>
        <v>6.5326302900783201E-2</v>
      </c>
      <c r="O104" s="11"/>
      <c r="P104" s="2">
        <f>--168463.36</f>
        <v>168463.35999999999</v>
      </c>
      <c r="Q104" s="2"/>
      <c r="R104" s="19">
        <f t="shared" si="72"/>
        <v>0.17307179637431575</v>
      </c>
      <c r="S104" s="2"/>
      <c r="T104" s="2">
        <f>--147285.39</f>
        <v>147285.39000000001</v>
      </c>
      <c r="U104" s="2"/>
      <c r="V104" s="19">
        <f t="shared" si="73"/>
        <v>0.1411061539690785</v>
      </c>
      <c r="W104" s="2"/>
      <c r="X104" s="2">
        <f t="shared" si="74"/>
        <v>21177.969999999972</v>
      </c>
      <c r="Y104" s="2"/>
      <c r="Z104" s="19">
        <f t="shared" si="75"/>
        <v>0.14378866770152809</v>
      </c>
    </row>
    <row r="105" spans="1:26" s="24" customFormat="1" hidden="1" outlineLevel="1" x14ac:dyDescent="0.25">
      <c r="A105" s="44"/>
      <c r="B105" s="11" t="str">
        <f>CONCATENATE("          ", "9152", " - ", "MISC. INCOME")</f>
        <v xml:space="preserve">          9152 - MISC. INCOME</v>
      </c>
      <c r="C105" s="11"/>
      <c r="D105" s="2">
        <f>--935.08</f>
        <v>935.08</v>
      </c>
      <c r="E105" s="2"/>
      <c r="F105" s="19">
        <f t="shared" si="68"/>
        <v>5.2906559337211646E-3</v>
      </c>
      <c r="G105" s="2"/>
      <c r="H105" s="2">
        <f>--542.55</f>
        <v>542.54999999999995</v>
      </c>
      <c r="I105" s="2"/>
      <c r="J105" s="19">
        <f t="shared" si="69"/>
        <v>2.8707755734487307E-3</v>
      </c>
      <c r="K105" s="2"/>
      <c r="L105" s="2">
        <f t="shared" si="70"/>
        <v>392.53000000000009</v>
      </c>
      <c r="M105" s="2"/>
      <c r="N105" s="19">
        <f t="shared" si="71"/>
        <v>0.72349092249562275</v>
      </c>
      <c r="O105" s="11"/>
      <c r="P105" s="2">
        <f>--1938.11</f>
        <v>1938.11</v>
      </c>
      <c r="Q105" s="2"/>
      <c r="R105" s="19">
        <f t="shared" si="72"/>
        <v>1.9911283929693979E-3</v>
      </c>
      <c r="S105" s="2"/>
      <c r="T105" s="2">
        <f>--2088.94</f>
        <v>2088.94</v>
      </c>
      <c r="U105" s="2"/>
      <c r="V105" s="19">
        <f t="shared" si="73"/>
        <v>2.0013002598028686E-3</v>
      </c>
      <c r="W105" s="2"/>
      <c r="X105" s="2">
        <f t="shared" si="74"/>
        <v>-150.83000000000015</v>
      </c>
      <c r="Y105" s="2"/>
      <c r="Z105" s="19">
        <f t="shared" si="75"/>
        <v>-7.2204084368148513E-2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5" t="s">
        <v>276</v>
      </c>
      <c r="C107" s="25"/>
      <c r="D107" s="21">
        <f>+D52-D54+D102</f>
        <v>113783.26999999992</v>
      </c>
      <c r="E107" s="13"/>
      <c r="F107" s="22">
        <f>IF(D$12=0,0,D107/D$12)</f>
        <v>0.64378249196186088</v>
      </c>
      <c r="G107" s="13"/>
      <c r="H107" s="21">
        <f>+H52-H54+H102</f>
        <v>175534.74999999994</v>
      </c>
      <c r="I107" s="13"/>
      <c r="J107" s="22">
        <f>IF(H$12=0,0,H107/H$12)</f>
        <v>0.92880079733007004</v>
      </c>
      <c r="K107" s="16"/>
      <c r="L107" s="21">
        <f>+D107-H107</f>
        <v>-61751.480000000025</v>
      </c>
      <c r="M107" s="16"/>
      <c r="N107" s="22">
        <f>IF(H107=0,0,L107/H107)</f>
        <v>-0.3517906283513666</v>
      </c>
      <c r="O107" s="26"/>
      <c r="P107" s="21">
        <f>+P52-P54+P102</f>
        <v>194895.08000000002</v>
      </c>
      <c r="Q107" s="13"/>
      <c r="R107" s="22">
        <f>IF(P$12=0,0,P107/P$12)</f>
        <v>0.20022657508502731</v>
      </c>
      <c r="S107" s="13"/>
      <c r="T107" s="21">
        <f>+T52-T54+T102</f>
        <v>338292.17000000027</v>
      </c>
      <c r="U107" s="13"/>
      <c r="V107" s="22">
        <f>IF(T$12=0,0,T107/T$12)</f>
        <v>0.32409940338653898</v>
      </c>
      <c r="W107" s="16"/>
      <c r="X107" s="21">
        <f>+P107-T107</f>
        <v>-143397.09000000026</v>
      </c>
      <c r="Y107" s="16"/>
      <c r="Z107" s="22">
        <f>IF(T107=0,0,X107/T107)</f>
        <v>-0.42388533556659069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1"/>
      <c r="B109" s="10" t="s">
        <v>127</v>
      </c>
      <c r="C109" s="10"/>
      <c r="D109" s="4">
        <v>1436.83</v>
      </c>
      <c r="E109" s="4"/>
      <c r="F109" s="12">
        <f>IF(D$12=0,0,D109/D$12)</f>
        <v>8.1295431035297312E-3</v>
      </c>
      <c r="G109" s="4"/>
      <c r="H109" s="4">
        <v>49045.84</v>
      </c>
      <c r="I109" s="4"/>
      <c r="J109" s="12">
        <f>IF(H$12=0,0,H109/H$12)</f>
        <v>0.25951451377988149</v>
      </c>
      <c r="K109" s="4"/>
      <c r="L109" s="4">
        <f>+D109-H109</f>
        <v>-47609.009999999995</v>
      </c>
      <c r="M109" s="4"/>
      <c r="N109" s="12">
        <f>IF(H109=0,0,L109/H109)</f>
        <v>-0.97070434515954862</v>
      </c>
      <c r="O109" s="10"/>
      <c r="P109" s="4">
        <v>120479.81</v>
      </c>
      <c r="Q109" s="4"/>
      <c r="R109" s="12">
        <f>IF(P$12=0,0,P109/P$12)</f>
        <v>0.1237756218535369</v>
      </c>
      <c r="S109" s="4"/>
      <c r="T109" s="4">
        <v>193367.57</v>
      </c>
      <c r="U109" s="4"/>
      <c r="V109" s="12">
        <f>IF(T$12=0,0,T109/T$12)</f>
        <v>0.18525499443662785</v>
      </c>
      <c r="W109" s="4"/>
      <c r="X109" s="4">
        <f>+P109-T109</f>
        <v>-72887.760000000009</v>
      </c>
      <c r="Y109" s="4"/>
      <c r="Z109" s="12">
        <f>IF(T109=0,0,X109/T109)</f>
        <v>-0.37693890449158568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5" t="s">
        <v>125</v>
      </c>
      <c r="C111" s="25"/>
      <c r="D111" s="33">
        <f>+D107-D109</f>
        <v>112346.43999999992</v>
      </c>
      <c r="E111" s="13"/>
      <c r="F111" s="35">
        <f>IF(D$12=0,0,D111/D$12)</f>
        <v>0.63565294885833123</v>
      </c>
      <c r="G111" s="13"/>
      <c r="H111" s="33">
        <f>+H107-H109</f>
        <v>126488.90999999995</v>
      </c>
      <c r="I111" s="13"/>
      <c r="J111" s="35">
        <f>IF(H$12=0,0,H111/H$12)</f>
        <v>0.66928628355018849</v>
      </c>
      <c r="K111" s="16"/>
      <c r="L111" s="33">
        <f>D111-H111</f>
        <v>-14142.47000000003</v>
      </c>
      <c r="M111" s="16"/>
      <c r="N111" s="35">
        <f>IF(H111=0,0,L111/H111)</f>
        <v>-0.11180798379873806</v>
      </c>
      <c r="O111" s="26"/>
      <c r="P111" s="33">
        <f>+P107-P109</f>
        <v>74415.270000000019</v>
      </c>
      <c r="Q111" s="13"/>
      <c r="R111" s="35">
        <f>IF(P$12=0,0,P111/P$12)</f>
        <v>7.6450953231490412E-2</v>
      </c>
      <c r="S111" s="13"/>
      <c r="T111" s="33">
        <f>+T107-T109</f>
        <v>144924.60000000027</v>
      </c>
      <c r="U111" s="13"/>
      <c r="V111" s="35">
        <f>IF(T$12=0,0,T111/T$12)</f>
        <v>0.13884440894991112</v>
      </c>
      <c r="W111" s="16"/>
      <c r="X111" s="33">
        <f>P111-T111</f>
        <v>-70509.330000000249</v>
      </c>
      <c r="Y111" s="16"/>
      <c r="Z111" s="35">
        <f>IF(T111=0,0,X111/T111)</f>
        <v>-0.48652423398098127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5" t="s">
        <v>293</v>
      </c>
      <c r="C114" s="25"/>
      <c r="D114" s="31">
        <f>SUM(D111:D113)</f>
        <v>112346.43999999992</v>
      </c>
      <c r="E114" s="13"/>
      <c r="F114" s="32">
        <f>IF(D$12=0,0,D114/D$12)</f>
        <v>0.63565294885833123</v>
      </c>
      <c r="G114" s="13"/>
      <c r="H114" s="31">
        <f>SUM(H111:H113)</f>
        <v>126488.90999999995</v>
      </c>
      <c r="I114" s="13"/>
      <c r="J114" s="32">
        <f>IF(H$12=0,0,H114/H$12)</f>
        <v>0.66928628355018849</v>
      </c>
      <c r="K114" s="16"/>
      <c r="L114" s="31">
        <f>+D114-H114</f>
        <v>-14142.47000000003</v>
      </c>
      <c r="M114" s="16"/>
      <c r="N114" s="32">
        <f>IF(H114=0,0,L114/H114)</f>
        <v>-0.11180798379873806</v>
      </c>
      <c r="O114" s="26"/>
      <c r="P114" s="31">
        <f>SUM(P111:P113)</f>
        <v>74415.270000000019</v>
      </c>
      <c r="Q114" s="13"/>
      <c r="R114" s="32">
        <f>IF(P$12=0,0,P114/P$12)</f>
        <v>7.6450953231490412E-2</v>
      </c>
      <c r="S114" s="13"/>
      <c r="T114" s="31">
        <f>SUM(T111:T113)</f>
        <v>144924.60000000027</v>
      </c>
      <c r="U114" s="13"/>
      <c r="V114" s="32">
        <f>IF(T$12=0,0,T114/T$12)</f>
        <v>0.13884440894991112</v>
      </c>
      <c r="W114" s="16"/>
      <c r="X114" s="31">
        <f>+P114-T114</f>
        <v>-70509.330000000249</v>
      </c>
      <c r="Y114" s="16"/>
      <c r="Z114" s="32">
        <f>IF(T114=0,0,X114/T114)</f>
        <v>-0.48652423398098127</v>
      </c>
    </row>
    <row r="115" spans="1:26" ht="15.75" thickTop="1" x14ac:dyDescent="0.25">
      <c r="A115" s="9"/>
      <c r="C115" s="9"/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6" x14ac:dyDescent="0.25">
      <c r="A116" s="9"/>
      <c r="B116" s="58">
        <v>44481.985668518515</v>
      </c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6" x14ac:dyDescent="0.25">
      <c r="A117" s="9"/>
      <c r="B117" s="53" t="s">
        <v>56</v>
      </c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  <row r="118" spans="1:26" x14ac:dyDescent="0.25">
      <c r="A118" s="9"/>
      <c r="B118" s="52"/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","324", " - ", "Textbook Rental")</f>
        <v>Department 324 - Textbook Rental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57614.85</v>
      </c>
      <c r="E12" s="4"/>
      <c r="F12" s="12"/>
      <c r="G12" s="4"/>
      <c r="H12" s="4">
        <f>SUM(OSRRefH13x_0)</f>
        <v>48384.93</v>
      </c>
      <c r="I12" s="4"/>
      <c r="J12" s="12"/>
      <c r="K12" s="4"/>
      <c r="L12" s="4">
        <f t="shared" ref="L12:L16" si="0">+D12-H12</f>
        <v>9229.9199999999983</v>
      </c>
      <c r="M12" s="4"/>
      <c r="N12" s="12">
        <f t="shared" ref="N12:N16" si="1">IF(H12=0,0,L12/H12)</f>
        <v>0.19076022224275199</v>
      </c>
      <c r="O12" s="10"/>
      <c r="P12" s="4">
        <f>SUM(OSRRefP13x_0)</f>
        <v>332769.40999999997</v>
      </c>
      <c r="Q12" s="4"/>
      <c r="R12" s="12"/>
      <c r="S12" s="4"/>
      <c r="T12" s="4">
        <f>SUM(OSRRefT13x_0)</f>
        <v>467731.39</v>
      </c>
      <c r="U12" s="4"/>
      <c r="V12" s="12"/>
      <c r="W12" s="4"/>
      <c r="X12" s="4">
        <f t="shared" ref="X12:X16" si="2">+P12-T12</f>
        <v>-134961.98000000004</v>
      </c>
      <c r="Y12" s="4"/>
      <c r="Z12" s="12">
        <f t="shared" ref="Z12:Z16" si="3">IF(T12=0,0,X12/T12)</f>
        <v>-0.28854591093405135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--38086.92</f>
        <v>38086.92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38086.92</v>
      </c>
      <c r="M13" s="2"/>
      <c r="N13" s="19">
        <f t="shared" si="1"/>
        <v>0</v>
      </c>
      <c r="O13" s="11"/>
      <c r="P13" s="2">
        <f>--209080.9</f>
        <v>209080.9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209080.9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15" si="4">0</f>
        <v>0</v>
      </c>
      <c r="E14" s="2"/>
      <c r="F14" s="19"/>
      <c r="G14" s="2"/>
      <c r="H14" s="2">
        <f>--23703.39</f>
        <v>23703.39</v>
      </c>
      <c r="I14" s="2"/>
      <c r="J14" s="19"/>
      <c r="K14" s="2"/>
      <c r="L14" s="2">
        <f t="shared" si="0"/>
        <v>-23703.39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--170954.66</f>
        <v>170954.66</v>
      </c>
      <c r="U14" s="2"/>
      <c r="V14" s="19"/>
      <c r="W14" s="2"/>
      <c r="X14" s="2">
        <f t="shared" si="2"/>
        <v>-170954.66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--13735.85</f>
        <v>13735.85</v>
      </c>
      <c r="I15" s="2"/>
      <c r="J15" s="19"/>
      <c r="K15" s="2"/>
      <c r="L15" s="2">
        <f t="shared" si="0"/>
        <v>-13735.85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--132432.71</f>
        <v>132432.71</v>
      </c>
      <c r="U15" s="2"/>
      <c r="V15" s="19"/>
      <c r="W15" s="2"/>
      <c r="X15" s="2">
        <f t="shared" si="2"/>
        <v>-132432.71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--19527.93</f>
        <v>19527.93</v>
      </c>
      <c r="E16" s="2"/>
      <c r="F16" s="19"/>
      <c r="G16" s="2"/>
      <c r="H16" s="2">
        <f>--10945.69</f>
        <v>10945.69</v>
      </c>
      <c r="I16" s="2"/>
      <c r="J16" s="19"/>
      <c r="K16" s="2"/>
      <c r="L16" s="2">
        <f t="shared" si="0"/>
        <v>8582.24</v>
      </c>
      <c r="M16" s="2"/>
      <c r="N16" s="19">
        <f t="shared" si="1"/>
        <v>0.78407482762621628</v>
      </c>
      <c r="O16" s="11"/>
      <c r="P16" s="2">
        <f>--123688.51</f>
        <v>123688.51</v>
      </c>
      <c r="Q16" s="2"/>
      <c r="R16" s="19"/>
      <c r="S16" s="2"/>
      <c r="T16" s="2">
        <f>--164344.02</f>
        <v>164344.01999999999</v>
      </c>
      <c r="U16" s="2"/>
      <c r="V16" s="19"/>
      <c r="W16" s="2"/>
      <c r="X16" s="2">
        <f t="shared" si="2"/>
        <v>-40655.509999999995</v>
      </c>
      <c r="Y16" s="2"/>
      <c r="Z16" s="19">
        <f t="shared" si="3"/>
        <v>-0.24738052531512858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256</v>
      </c>
      <c r="C18" s="10"/>
      <c r="D18" s="4">
        <f>SUM(OSRRefD16x_0)</f>
        <v>46013.09</v>
      </c>
      <c r="E18" s="4"/>
      <c r="F18" s="12">
        <f t="shared" ref="F18:F21" si="6">IF(D$12=0,0,D18/D$12)</f>
        <v>0.79863247062172338</v>
      </c>
      <c r="G18" s="4"/>
      <c r="H18" s="4">
        <f>SUM(OSRRefH16x_0)</f>
        <v>26803.5</v>
      </c>
      <c r="I18" s="4"/>
      <c r="J18" s="12">
        <f t="shared" ref="J18:J21" si="7">IF(H$12=0,0,H18/H$12)</f>
        <v>0.55396380649925503</v>
      </c>
      <c r="K18" s="4"/>
      <c r="L18" s="4">
        <f t="shared" ref="L18:L21" si="8">+D18-H18</f>
        <v>19209.589999999997</v>
      </c>
      <c r="M18" s="4"/>
      <c r="N18" s="12">
        <f t="shared" ref="N18:N21" si="9">IF(H18=0,0,L18/H18)</f>
        <v>0.71668214971925293</v>
      </c>
      <c r="O18" s="10"/>
      <c r="P18" s="4">
        <f>SUM(OSRRefP16x_0)</f>
        <v>250973.75</v>
      </c>
      <c r="Q18" s="4"/>
      <c r="R18" s="12">
        <f t="shared" ref="R18:R21" si="10">IF(P$12=0,0,P18/P$12)</f>
        <v>0.75419717816009602</v>
      </c>
      <c r="S18" s="4"/>
      <c r="T18" s="4">
        <f>SUM(OSRRefT16x_0)</f>
        <v>342526.83999999997</v>
      </c>
      <c r="U18" s="4"/>
      <c r="V18" s="12">
        <f t="shared" ref="V18:V21" si="11">IF(T$12=0,0,T18/T$12)</f>
        <v>0.73231527180589684</v>
      </c>
      <c r="W18" s="4"/>
      <c r="X18" s="4">
        <f t="shared" ref="X18:X21" si="12">+P18-T18</f>
        <v>-91553.089999999967</v>
      </c>
      <c r="Y18" s="4"/>
      <c r="Z18" s="12">
        <f t="shared" ref="Z18:Z21" si="13">IF(T18=0,0,X18/T18)</f>
        <v>-0.26728734600768794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46013.09</v>
      </c>
      <c r="E19" s="2"/>
      <c r="F19" s="19">
        <f t="shared" si="6"/>
        <v>0.79863247062172338</v>
      </c>
      <c r="G19" s="2"/>
      <c r="H19" s="2"/>
      <c r="I19" s="2"/>
      <c r="J19" s="19">
        <f t="shared" si="7"/>
        <v>0</v>
      </c>
      <c r="K19" s="2"/>
      <c r="L19" s="2">
        <f t="shared" si="8"/>
        <v>46013.09</v>
      </c>
      <c r="M19" s="2"/>
      <c r="N19" s="19">
        <f t="shared" si="9"/>
        <v>0</v>
      </c>
      <c r="O19" s="11"/>
      <c r="P19" s="2">
        <v>250973.75</v>
      </c>
      <c r="Q19" s="2"/>
      <c r="R19" s="19">
        <f t="shared" si="10"/>
        <v>0.75419717816009602</v>
      </c>
      <c r="S19" s="2"/>
      <c r="T19" s="2"/>
      <c r="U19" s="2"/>
      <c r="V19" s="19">
        <f t="shared" si="11"/>
        <v>0</v>
      </c>
      <c r="W19" s="2"/>
      <c r="X19" s="2">
        <f t="shared" si="12"/>
        <v>250973.75</v>
      </c>
      <c r="Y19" s="2"/>
      <c r="Z19" s="19">
        <f t="shared" si="13"/>
        <v>0</v>
      </c>
    </row>
    <row r="20" spans="1:26" s="24" customFormat="1" hidden="1" outlineLevel="1" x14ac:dyDescent="0.25">
      <c r="A20" s="44"/>
      <c r="B20" s="11" t="str">
        <f>CONCATENATE("          ", "5001", " - ", "PURCHASES @ COST-NEW TEXT")</f>
        <v xml:space="preserve">          5001 - PURCHASES @ COST-NEW TEXT</v>
      </c>
      <c r="C20" s="11"/>
      <c r="D20" s="2"/>
      <c r="E20" s="2"/>
      <c r="F20" s="19">
        <f t="shared" si="6"/>
        <v>0</v>
      </c>
      <c r="G20" s="2"/>
      <c r="H20" s="2">
        <v>26803.5</v>
      </c>
      <c r="I20" s="2"/>
      <c r="J20" s="19">
        <f t="shared" si="7"/>
        <v>0.55396380649925503</v>
      </c>
      <c r="K20" s="2"/>
      <c r="L20" s="2">
        <f t="shared" si="8"/>
        <v>-26803.5</v>
      </c>
      <c r="M20" s="2"/>
      <c r="N20" s="19">
        <f t="shared" si="9"/>
        <v>-1</v>
      </c>
      <c r="O20" s="11"/>
      <c r="P20" s="2"/>
      <c r="Q20" s="2"/>
      <c r="R20" s="19">
        <f t="shared" si="10"/>
        <v>0</v>
      </c>
      <c r="S20" s="2"/>
      <c r="T20" s="2">
        <v>203192.36</v>
      </c>
      <c r="U20" s="2"/>
      <c r="V20" s="19">
        <f t="shared" si="11"/>
        <v>0.43442104666099057</v>
      </c>
      <c r="W20" s="2"/>
      <c r="X20" s="2">
        <f t="shared" si="12"/>
        <v>-203192.36</v>
      </c>
      <c r="Y20" s="2"/>
      <c r="Z20" s="19">
        <f t="shared" si="13"/>
        <v>-1</v>
      </c>
    </row>
    <row r="21" spans="1:26" s="24" customFormat="1" hidden="1" outlineLevel="1" x14ac:dyDescent="0.25">
      <c r="A21" s="44"/>
      <c r="B21" s="11" t="str">
        <f>CONCATENATE("          ", "5002", " - ", "PURCHASES @ COST-USED TEXT")</f>
        <v xml:space="preserve">          5002 - PURCHASES @ COST-USED TEXT</v>
      </c>
      <c r="C21" s="11"/>
      <c r="D21" s="2"/>
      <c r="E21" s="2"/>
      <c r="F21" s="19">
        <f t="shared" si="6"/>
        <v>0</v>
      </c>
      <c r="G21" s="2"/>
      <c r="H21" s="2"/>
      <c r="I21" s="2"/>
      <c r="J21" s="19">
        <f t="shared" si="7"/>
        <v>0</v>
      </c>
      <c r="K21" s="2"/>
      <c r="L21" s="2">
        <f t="shared" si="8"/>
        <v>0</v>
      </c>
      <c r="M21" s="2"/>
      <c r="N21" s="19">
        <f t="shared" si="9"/>
        <v>0</v>
      </c>
      <c r="O21" s="11"/>
      <c r="P21" s="2"/>
      <c r="Q21" s="2"/>
      <c r="R21" s="19">
        <f t="shared" si="10"/>
        <v>0</v>
      </c>
      <c r="S21" s="2"/>
      <c r="T21" s="2">
        <v>139334.48000000001</v>
      </c>
      <c r="U21" s="2"/>
      <c r="V21" s="19">
        <f t="shared" si="11"/>
        <v>0.29789422514490638</v>
      </c>
      <c r="W21" s="2"/>
      <c r="X21" s="2">
        <f t="shared" si="12"/>
        <v>-139334.48000000001</v>
      </c>
      <c r="Y21" s="2"/>
      <c r="Z21" s="19">
        <f t="shared" si="13"/>
        <v>-1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107</v>
      </c>
      <c r="C23" s="25"/>
      <c r="D23" s="21">
        <f>D12-D18</f>
        <v>11601.760000000002</v>
      </c>
      <c r="E23" s="13"/>
      <c r="F23" s="22">
        <f>IF(D$12=0,0,D23/D$12)</f>
        <v>0.20136752937827665</v>
      </c>
      <c r="G23" s="13"/>
      <c r="H23" s="21">
        <f>H12-H18</f>
        <v>21581.43</v>
      </c>
      <c r="I23" s="13"/>
      <c r="J23" s="22">
        <f>IF(H$12=0,0,H23/H$12)</f>
        <v>0.44603619350074497</v>
      </c>
      <c r="K23" s="16"/>
      <c r="L23" s="21">
        <f>+D23-H23</f>
        <v>-9979.6699999999983</v>
      </c>
      <c r="M23" s="16"/>
      <c r="N23" s="22">
        <f>IF(H23=0,0,L23/H23)</f>
        <v>-0.46241931141726927</v>
      </c>
      <c r="O23" s="26"/>
      <c r="P23" s="21">
        <f>P12-P18</f>
        <v>81795.659999999974</v>
      </c>
      <c r="Q23" s="13"/>
      <c r="R23" s="22">
        <f>IF(P$12=0,0,P23/P$12)</f>
        <v>0.24580282183990404</v>
      </c>
      <c r="S23" s="13"/>
      <c r="T23" s="21">
        <f>T12-T18</f>
        <v>125204.55000000005</v>
      </c>
      <c r="U23" s="13"/>
      <c r="V23" s="22">
        <f>IF(T$12=0,0,T23/T$12)</f>
        <v>0.26768472819410311</v>
      </c>
      <c r="W23" s="16"/>
      <c r="X23" s="21">
        <f>+P23-T23</f>
        <v>-43408.890000000072</v>
      </c>
      <c r="Y23" s="16"/>
      <c r="Z23" s="22">
        <f>IF(T23=0,0,X23/T23)</f>
        <v>-0.34670377394431795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294</v>
      </c>
      <c r="C25" s="10"/>
      <c r="D25" s="20">
        <f>SUM(0)</f>
        <v>0</v>
      </c>
      <c r="E25" s="20"/>
      <c r="F25" s="30">
        <f>IF(D$12=0,0,D25/D$12)</f>
        <v>0</v>
      </c>
      <c r="G25" s="20"/>
      <c r="H25" s="20">
        <f>SUM(0)</f>
        <v>0</v>
      </c>
      <c r="I25" s="20"/>
      <c r="J25" s="30">
        <f>IF(H$12=0,0,H25/H$12)</f>
        <v>0</v>
      </c>
      <c r="K25" s="4"/>
      <c r="L25" s="20">
        <f>+D25-H25</f>
        <v>0</v>
      </c>
      <c r="M25" s="4"/>
      <c r="N25" s="30">
        <f>IF(H25=0,0,L25/H25)</f>
        <v>0</v>
      </c>
      <c r="O25" s="10"/>
      <c r="P25" s="20">
        <f>SUM(0)</f>
        <v>0</v>
      </c>
      <c r="Q25" s="20"/>
      <c r="R25" s="30">
        <f>IF(P$12=0,0,P25/P$12)</f>
        <v>0</v>
      </c>
      <c r="S25" s="20"/>
      <c r="T25" s="20">
        <f>SUM(0)</f>
        <v>0</v>
      </c>
      <c r="U25" s="20"/>
      <c r="V25" s="30">
        <f>IF(T$12=0,0,T25/T$12)</f>
        <v>0</v>
      </c>
      <c r="W25" s="4"/>
      <c r="X25" s="20">
        <f>+P25-T25</f>
        <v>0</v>
      </c>
      <c r="Y25" s="4"/>
      <c r="Z25" s="30">
        <f>IF(T25=0,0,X25/T25)</f>
        <v>0</v>
      </c>
    </row>
    <row r="26" spans="1:26" s="54" customFormat="1" x14ac:dyDescent="0.25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6" t="s">
        <v>292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5" t="s">
        <v>276</v>
      </c>
      <c r="C29" s="25"/>
      <c r="D29" s="21">
        <f>+D23-D25+D27</f>
        <v>11601.760000000002</v>
      </c>
      <c r="E29" s="13"/>
      <c r="F29" s="22">
        <f>IF(D$12=0,0,D29/D$12)</f>
        <v>0.20136752937827665</v>
      </c>
      <c r="G29" s="13"/>
      <c r="H29" s="21">
        <f>+H23-H25+H27</f>
        <v>21581.43</v>
      </c>
      <c r="I29" s="13"/>
      <c r="J29" s="22">
        <f>IF(H$12=0,0,H29/H$12)</f>
        <v>0.44603619350074497</v>
      </c>
      <c r="K29" s="16"/>
      <c r="L29" s="21">
        <f>+D29-H29</f>
        <v>-9979.6699999999983</v>
      </c>
      <c r="M29" s="16"/>
      <c r="N29" s="22">
        <f>IF(H29=0,0,L29/H29)</f>
        <v>-0.46241931141726927</v>
      </c>
      <c r="O29" s="26"/>
      <c r="P29" s="21">
        <f>+P23-P25+P27</f>
        <v>81795.659999999974</v>
      </c>
      <c r="Q29" s="13"/>
      <c r="R29" s="22">
        <f>IF(P$12=0,0,P29/P$12)</f>
        <v>0.24580282183990404</v>
      </c>
      <c r="S29" s="13"/>
      <c r="T29" s="21">
        <f>+T23-T25+T27</f>
        <v>125204.55000000005</v>
      </c>
      <c r="U29" s="13"/>
      <c r="V29" s="22">
        <f>IF(T$12=0,0,T29/T$12)</f>
        <v>0.26768472819410311</v>
      </c>
      <c r="W29" s="16"/>
      <c r="X29" s="21">
        <f>+P29-T29</f>
        <v>-43408.890000000072</v>
      </c>
      <c r="Y29" s="16"/>
      <c r="Z29" s="22">
        <f>IF(T29=0,0,X29/T29)</f>
        <v>-0.34670377394431795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51"/>
      <c r="B31" s="10" t="s">
        <v>127</v>
      </c>
      <c r="C31" s="10"/>
      <c r="D31" s="4">
        <v>71.56</v>
      </c>
      <c r="E31" s="4"/>
      <c r="F31" s="12">
        <f>IF(D$12=0,0,D31/D$12)</f>
        <v>1.2420408974422393E-3</v>
      </c>
      <c r="G31" s="4"/>
      <c r="H31" s="4">
        <v>15848.49</v>
      </c>
      <c r="I31" s="4"/>
      <c r="J31" s="12">
        <f>IF(H$12=0,0,H31/H$12)</f>
        <v>0.32755012769471814</v>
      </c>
      <c r="K31" s="4"/>
      <c r="L31" s="4">
        <f>+D31-H31</f>
        <v>-15776.93</v>
      </c>
      <c r="M31" s="4"/>
      <c r="N31" s="12">
        <f>IF(H31=0,0,L31/H31)</f>
        <v>-0.99548474334147929</v>
      </c>
      <c r="O31" s="10"/>
      <c r="P31" s="4">
        <v>41188.74</v>
      </c>
      <c r="Q31" s="4"/>
      <c r="R31" s="12">
        <f>IF(P$12=0,0,P31/P$12)</f>
        <v>0.12377561988044515</v>
      </c>
      <c r="S31" s="4"/>
      <c r="T31" s="4">
        <v>86649.57</v>
      </c>
      <c r="U31" s="4"/>
      <c r="V31" s="12">
        <f>IF(T$12=0,0,T31/T$12)</f>
        <v>0.18525498149696562</v>
      </c>
      <c r="W31" s="4"/>
      <c r="X31" s="4">
        <f>+P31-T31</f>
        <v>-45460.830000000009</v>
      </c>
      <c r="Y31" s="4"/>
      <c r="Z31" s="12">
        <f>IF(T31=0,0,X31/T31)</f>
        <v>-0.5246515360664803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5" t="s">
        <v>125</v>
      </c>
      <c r="C33" s="25"/>
      <c r="D33" s="33">
        <f>+D29-D31</f>
        <v>11530.200000000003</v>
      </c>
      <c r="E33" s="13"/>
      <c r="F33" s="35">
        <f>IF(D$12=0,0,D33/D$12)</f>
        <v>0.20012548848083442</v>
      </c>
      <c r="G33" s="13"/>
      <c r="H33" s="33">
        <f>+H29-H31</f>
        <v>5732.9400000000005</v>
      </c>
      <c r="I33" s="13"/>
      <c r="J33" s="35">
        <f>IF(H$12=0,0,H33/H$12)</f>
        <v>0.1184860658060268</v>
      </c>
      <c r="K33" s="16"/>
      <c r="L33" s="33">
        <f>D33-H33</f>
        <v>5797.260000000002</v>
      </c>
      <c r="M33" s="16"/>
      <c r="N33" s="35">
        <f>IF(H33=0,0,L33/H33)</f>
        <v>1.0112193743524267</v>
      </c>
      <c r="O33" s="26"/>
      <c r="P33" s="33">
        <f>+P29-P31</f>
        <v>40606.919999999976</v>
      </c>
      <c r="Q33" s="13"/>
      <c r="R33" s="35">
        <f>IF(P$12=0,0,P33/P$12)</f>
        <v>0.12202720195945889</v>
      </c>
      <c r="S33" s="13"/>
      <c r="T33" s="33">
        <f>+T29-T31</f>
        <v>38554.98000000004</v>
      </c>
      <c r="U33" s="13"/>
      <c r="V33" s="35">
        <f>IF(T$12=0,0,T33/T$12)</f>
        <v>8.2429746697137513E-2</v>
      </c>
      <c r="W33" s="16"/>
      <c r="X33" s="33">
        <f>P33-T33</f>
        <v>2051.9399999999368</v>
      </c>
      <c r="Y33" s="16"/>
      <c r="Z33" s="35">
        <f>IF(T33=0,0,X33/T33)</f>
        <v>5.3221140304052415E-2</v>
      </c>
    </row>
    <row r="34" spans="1:26" ht="15.75" thickTop="1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>
        <f>SUM(D33:D35)</f>
        <v>11530.200000000003</v>
      </c>
      <c r="E36" s="13"/>
      <c r="F36" s="32">
        <f>IF(D$12=0,0,D36/D$12)</f>
        <v>0.20012548848083442</v>
      </c>
      <c r="G36" s="13"/>
      <c r="H36" s="31">
        <f>SUM(H33:H35)</f>
        <v>5732.9400000000005</v>
      </c>
      <c r="I36" s="13"/>
      <c r="J36" s="32">
        <f>IF(H$12=0,0,H36/H$12)</f>
        <v>0.1184860658060268</v>
      </c>
      <c r="K36" s="16"/>
      <c r="L36" s="31">
        <f>+D36-H36</f>
        <v>5797.260000000002</v>
      </c>
      <c r="M36" s="16"/>
      <c r="N36" s="32">
        <f>IF(H36=0,0,L36/H36)</f>
        <v>1.0112193743524267</v>
      </c>
      <c r="O36" s="26"/>
      <c r="P36" s="31">
        <f>SUM(P33:P35)</f>
        <v>40606.919999999976</v>
      </c>
      <c r="Q36" s="13"/>
      <c r="R36" s="32">
        <f>IF(P$12=0,0,P36/P$12)</f>
        <v>0.12202720195945889</v>
      </c>
      <c r="S36" s="13"/>
      <c r="T36" s="31">
        <f>SUM(T33:T35)</f>
        <v>38554.98000000004</v>
      </c>
      <c r="U36" s="13"/>
      <c r="V36" s="32">
        <f>IF(T$12=0,0,T36/T$12)</f>
        <v>8.2429746697137513E-2</v>
      </c>
      <c r="W36" s="16"/>
      <c r="X36" s="31">
        <f>+P36-T36</f>
        <v>2051.9399999999368</v>
      </c>
      <c r="Y36" s="16"/>
      <c r="Z36" s="32">
        <f>IF(T36=0,0,X36/T36)</f>
        <v>5.3221140304052415E-2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>
        <v>44481.985668518515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s">
        <v>56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</sheetPr>
  <dimension ref="A2:Z15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307898.32</v>
      </c>
      <c r="E12" s="4"/>
      <c r="F12" s="12"/>
      <c r="G12" s="4"/>
      <c r="H12" s="4">
        <f>SUM(OSRRefH13x_0)</f>
        <v>113768.15999999999</v>
      </c>
      <c r="I12" s="4"/>
      <c r="J12" s="12"/>
      <c r="K12" s="4"/>
      <c r="L12" s="4">
        <f t="shared" ref="L12:L51" si="0">+D12-H12</f>
        <v>194130.16000000003</v>
      </c>
      <c r="M12" s="4"/>
      <c r="N12" s="12">
        <f t="shared" ref="N12:N51" si="1">IF(H12=0,0,L12/H12)</f>
        <v>1.7063663506555793</v>
      </c>
      <c r="O12" s="10"/>
      <c r="P12" s="4">
        <f>SUM(OSRRefP13x_0)</f>
        <v>894415.32000000007</v>
      </c>
      <c r="Q12" s="4"/>
      <c r="R12" s="12"/>
      <c r="S12" s="4"/>
      <c r="T12" s="4">
        <f>SUM(OSRRefT13x_0)</f>
        <v>599607.32000000007</v>
      </c>
      <c r="U12" s="4"/>
      <c r="V12" s="12"/>
      <c r="W12" s="4"/>
      <c r="X12" s="4">
        <f t="shared" ref="X12:X51" si="2">+P12-T12</f>
        <v>294808</v>
      </c>
      <c r="Y12" s="4"/>
      <c r="Z12" s="12">
        <f t="shared" ref="Z12:Z51" si="3">IF(T12=0,0,X12/T12)</f>
        <v>0.49166844727646081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--270767.95</f>
        <v>270767.95</v>
      </c>
      <c r="E13" s="2"/>
      <c r="F13" s="19"/>
      <c r="G13" s="2"/>
      <c r="H13" s="2">
        <f>-7132.78</f>
        <v>-7132.78</v>
      </c>
      <c r="I13" s="2"/>
      <c r="J13" s="19"/>
      <c r="K13" s="2"/>
      <c r="L13" s="2">
        <f t="shared" si="0"/>
        <v>277900.73000000004</v>
      </c>
      <c r="M13" s="2"/>
      <c r="N13" s="19">
        <f t="shared" si="1"/>
        <v>-38.961068475405106</v>
      </c>
      <c r="O13" s="11"/>
      <c r="P13" s="2">
        <f>--835058.4</f>
        <v>835058.4</v>
      </c>
      <c r="Q13" s="2"/>
      <c r="R13" s="19"/>
      <c r="S13" s="2"/>
      <c r="T13" s="2">
        <f>-29981.54</f>
        <v>-29981.54</v>
      </c>
      <c r="U13" s="2"/>
      <c r="V13" s="19"/>
      <c r="W13" s="2"/>
      <c r="X13" s="2">
        <f t="shared" si="2"/>
        <v>865039.94000000006</v>
      </c>
      <c r="Y13" s="2"/>
      <c r="Z13" s="19">
        <f t="shared" si="3"/>
        <v>-28.85241852153025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4" si="4">0</f>
        <v>0</v>
      </c>
      <c r="E14" s="2"/>
      <c r="F14" s="19"/>
      <c r="G14" s="2"/>
      <c r="H14" s="2">
        <f>--3.96</f>
        <v>3.96</v>
      </c>
      <c r="I14" s="2"/>
      <c r="J14" s="19"/>
      <c r="K14" s="2"/>
      <c r="L14" s="2">
        <f t="shared" si="0"/>
        <v>-3.96</v>
      </c>
      <c r="M14" s="2"/>
      <c r="N14" s="19">
        <f t="shared" si="1"/>
        <v>-1</v>
      </c>
      <c r="O14" s="11"/>
      <c r="P14" s="2">
        <f t="shared" ref="P14:P24" si="5">0</f>
        <v>0</v>
      </c>
      <c r="Q14" s="2"/>
      <c r="R14" s="19"/>
      <c r="S14" s="2"/>
      <c r="T14" s="2">
        <f>--240.52</f>
        <v>240.52</v>
      </c>
      <c r="U14" s="2"/>
      <c r="V14" s="19"/>
      <c r="W14" s="2"/>
      <c r="X14" s="2">
        <f t="shared" si="2"/>
        <v>-240.52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--6172.1</f>
        <v>6172.1</v>
      </c>
      <c r="I15" s="2"/>
      <c r="J15" s="19"/>
      <c r="K15" s="2"/>
      <c r="L15" s="2">
        <f t="shared" si="0"/>
        <v>-6172.1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--24684.29</f>
        <v>24684.29</v>
      </c>
      <c r="U15" s="2"/>
      <c r="V15" s="19"/>
      <c r="W15" s="2"/>
      <c r="X15" s="2">
        <f t="shared" si="2"/>
        <v>-24684.29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--19.85</f>
        <v>19.850000000000001</v>
      </c>
      <c r="U16" s="2"/>
      <c r="V16" s="19"/>
      <c r="W16" s="2"/>
      <c r="X16" s="2">
        <f t="shared" si="2"/>
        <v>-19.850000000000001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--441.57</f>
        <v>441.57</v>
      </c>
      <c r="I17" s="2"/>
      <c r="J17" s="19"/>
      <c r="K17" s="2"/>
      <c r="L17" s="2">
        <f t="shared" si="0"/>
        <v>-441.57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--868.79</f>
        <v>868.79</v>
      </c>
      <c r="U17" s="2"/>
      <c r="V17" s="19"/>
      <c r="W17" s="2"/>
      <c r="X17" s="2">
        <f t="shared" si="2"/>
        <v>-868.79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--6.78</f>
        <v>6.78</v>
      </c>
      <c r="U18" s="2"/>
      <c r="V18" s="19"/>
      <c r="W18" s="2"/>
      <c r="X18" s="2">
        <f t="shared" si="2"/>
        <v>-6.78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 t="shared" si="4"/>
        <v>0</v>
      </c>
      <c r="E19" s="2"/>
      <c r="F19" s="19"/>
      <c r="G19" s="2"/>
      <c r="H19" s="2">
        <f>--78841.84</f>
        <v>78841.84</v>
      </c>
      <c r="I19" s="2"/>
      <c r="J19" s="19"/>
      <c r="K19" s="2"/>
      <c r="L19" s="2">
        <f t="shared" si="0"/>
        <v>-78841.84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--328420.19</f>
        <v>328420.19</v>
      </c>
      <c r="U19" s="2"/>
      <c r="V19" s="19"/>
      <c r="W19" s="2"/>
      <c r="X19" s="2">
        <f t="shared" si="2"/>
        <v>-328420.19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 t="shared" si="4"/>
        <v>0</v>
      </c>
      <c r="E20" s="2"/>
      <c r="F20" s="19"/>
      <c r="G20" s="2"/>
      <c r="H20" s="2">
        <f>--18938.34</f>
        <v>18938.34</v>
      </c>
      <c r="I20" s="2"/>
      <c r="J20" s="19"/>
      <c r="K20" s="2"/>
      <c r="L20" s="2">
        <f t="shared" si="0"/>
        <v>-18938.34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--78811.85</f>
        <v>78811.850000000006</v>
      </c>
      <c r="U20" s="2"/>
      <c r="V20" s="19"/>
      <c r="W20" s="2"/>
      <c r="X20" s="2">
        <f t="shared" si="2"/>
        <v>-78811.850000000006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 t="shared" si="4"/>
        <v>0</v>
      </c>
      <c r="E21" s="2"/>
      <c r="F21" s="19"/>
      <c r="G21" s="2"/>
      <c r="H21" s="2">
        <f>--7527.61</f>
        <v>7527.61</v>
      </c>
      <c r="I21" s="2"/>
      <c r="J21" s="19"/>
      <c r="K21" s="2"/>
      <c r="L21" s="2">
        <f t="shared" si="0"/>
        <v>-7527.61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--38495.78</f>
        <v>38495.78</v>
      </c>
      <c r="U21" s="2"/>
      <c r="V21" s="19"/>
      <c r="W21" s="2"/>
      <c r="X21" s="2">
        <f t="shared" si="2"/>
        <v>-38495.78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 t="shared" si="4"/>
        <v>0</v>
      </c>
      <c r="E22" s="2"/>
      <c r="F22" s="19"/>
      <c r="G22" s="2"/>
      <c r="H22" s="2">
        <f>--2802.54</f>
        <v>2802.54</v>
      </c>
      <c r="I22" s="2"/>
      <c r="J22" s="19"/>
      <c r="K22" s="2"/>
      <c r="L22" s="2">
        <f t="shared" si="0"/>
        <v>-2802.54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--9783.18</f>
        <v>9783.18</v>
      </c>
      <c r="U22" s="2"/>
      <c r="V22" s="19"/>
      <c r="W22" s="2"/>
      <c r="X22" s="2">
        <f t="shared" si="2"/>
        <v>-9783.18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 t="shared" si="4"/>
        <v>0</v>
      </c>
      <c r="E23" s="2"/>
      <c r="F23" s="19"/>
      <c r="G23" s="2"/>
      <c r="H23" s="2">
        <f>--2962.32</f>
        <v>2962.32</v>
      </c>
      <c r="I23" s="2"/>
      <c r="J23" s="19"/>
      <c r="K23" s="2"/>
      <c r="L23" s="2">
        <f t="shared" si="0"/>
        <v>-2962.32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--11331.52</f>
        <v>11331.52</v>
      </c>
      <c r="U23" s="2"/>
      <c r="V23" s="19"/>
      <c r="W23" s="2"/>
      <c r="X23" s="2">
        <f t="shared" si="2"/>
        <v>-11331.52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 t="shared" si="4"/>
        <v>0</v>
      </c>
      <c r="E24" s="2"/>
      <c r="F24" s="19"/>
      <c r="G24" s="2"/>
      <c r="H24" s="2">
        <f>--2575.36</f>
        <v>2575.36</v>
      </c>
      <c r="I24" s="2"/>
      <c r="J24" s="19"/>
      <c r="K24" s="2"/>
      <c r="L24" s="2">
        <f t="shared" si="0"/>
        <v>-2575.36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--92006.44</f>
        <v>92006.44</v>
      </c>
      <c r="U24" s="2"/>
      <c r="V24" s="19"/>
      <c r="W24" s="2"/>
      <c r="X24" s="2">
        <f t="shared" si="2"/>
        <v>-92006.44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"4100", " - ", "NON-TAXABLE SALES")</f>
        <v xml:space="preserve">          4100 - NON-TAXABLE SALES</v>
      </c>
      <c r="C25" s="11"/>
      <c r="D25" s="2">
        <f>--48117.26</f>
        <v>48117.26</v>
      </c>
      <c r="E25" s="2"/>
      <c r="F25" s="19"/>
      <c r="G25" s="2"/>
      <c r="H25" s="2">
        <f t="shared" ref="H25:H26" si="6">0</f>
        <v>0</v>
      </c>
      <c r="I25" s="2"/>
      <c r="J25" s="19"/>
      <c r="K25" s="2"/>
      <c r="L25" s="2">
        <f t="shared" si="0"/>
        <v>48117.26</v>
      </c>
      <c r="M25" s="2"/>
      <c r="N25" s="19">
        <f t="shared" si="1"/>
        <v>0</v>
      </c>
      <c r="O25" s="11"/>
      <c r="P25" s="2">
        <f>--83410.34</f>
        <v>83410.34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83410.34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"4126", " - ", "NON-TAXABLE SALES-WRITING INST")</f>
        <v xml:space="preserve">          4126 - NON-TAXABLE SALES-WRITING INST</v>
      </c>
      <c r="C26" s="11"/>
      <c r="D26" s="2">
        <f t="shared" ref="D26:D38" si="7">0</f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38" si="8">0</f>
        <v>0</v>
      </c>
      <c r="Q26" s="2"/>
      <c r="R26" s="19"/>
      <c r="S26" s="2"/>
      <c r="T26" s="2">
        <f>--52.68</f>
        <v>52.68</v>
      </c>
      <c r="U26" s="2"/>
      <c r="V26" s="19"/>
      <c r="W26" s="2"/>
      <c r="X26" s="2">
        <f t="shared" si="2"/>
        <v>-52.68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"4127", " - ", "NON-TAXABLE SALES-SCHOOL SUPPL")</f>
        <v xml:space="preserve">          4127 - NON-TAXABLE SALES-SCHOOL SUPPL</v>
      </c>
      <c r="C27" s="11"/>
      <c r="D27" s="2">
        <f t="shared" si="7"/>
        <v>0</v>
      </c>
      <c r="E27" s="2"/>
      <c r="F27" s="19"/>
      <c r="G27" s="2"/>
      <c r="H27" s="2">
        <f>--810.33</f>
        <v>810.33</v>
      </c>
      <c r="I27" s="2"/>
      <c r="J27" s="19"/>
      <c r="K27" s="2"/>
      <c r="L27" s="2">
        <f t="shared" si="0"/>
        <v>-810.33</v>
      </c>
      <c r="M27" s="2"/>
      <c r="N27" s="19">
        <f t="shared" si="1"/>
        <v>-1</v>
      </c>
      <c r="O27" s="11"/>
      <c r="P27" s="2">
        <f t="shared" si="8"/>
        <v>0</v>
      </c>
      <c r="Q27" s="2"/>
      <c r="R27" s="19"/>
      <c r="S27" s="2"/>
      <c r="T27" s="2">
        <f>--2670.74</f>
        <v>2670.74</v>
      </c>
      <c r="U27" s="2"/>
      <c r="V27" s="19"/>
      <c r="W27" s="2"/>
      <c r="X27" s="2">
        <f t="shared" si="2"/>
        <v>-2670.74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 t="shared" si="7"/>
        <v>0</v>
      </c>
      <c r="E28" s="2"/>
      <c r="F28" s="19"/>
      <c r="G28" s="2"/>
      <c r="H28" s="2">
        <f>--923.18</f>
        <v>923.18</v>
      </c>
      <c r="I28" s="2"/>
      <c r="J28" s="19"/>
      <c r="K28" s="2"/>
      <c r="L28" s="2">
        <f t="shared" si="0"/>
        <v>-923.18</v>
      </c>
      <c r="M28" s="2"/>
      <c r="N28" s="19">
        <f t="shared" si="1"/>
        <v>-1</v>
      </c>
      <c r="O28" s="11"/>
      <c r="P28" s="2">
        <f t="shared" si="8"/>
        <v>0</v>
      </c>
      <c r="Q28" s="2"/>
      <c r="R28" s="19"/>
      <c r="S28" s="2"/>
      <c r="T28" s="2">
        <f>--2171.26</f>
        <v>2171.2600000000002</v>
      </c>
      <c r="U28" s="2"/>
      <c r="V28" s="19"/>
      <c r="W28" s="2"/>
      <c r="X28" s="2">
        <f t="shared" si="2"/>
        <v>-2171.2600000000002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si="7"/>
        <v>0</v>
      </c>
      <c r="E29" s="2"/>
      <c r="F29" s="19"/>
      <c r="G29" s="2"/>
      <c r="H29" s="2">
        <f t="shared" ref="H29:H32" si="9"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8"/>
        <v>0</v>
      </c>
      <c r="Q29" s="2"/>
      <c r="R29" s="19"/>
      <c r="S29" s="2"/>
      <c r="T29" s="2">
        <f>--22.49</f>
        <v>22.49</v>
      </c>
      <c r="U29" s="2"/>
      <c r="V29" s="19"/>
      <c r="W29" s="2"/>
      <c r="X29" s="2">
        <f t="shared" si="2"/>
        <v>-22.49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7"/>
        <v>0</v>
      </c>
      <c r="E30" s="2"/>
      <c r="F30" s="19"/>
      <c r="G30" s="2"/>
      <c r="H30" s="2">
        <f t="shared" si="9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8"/>
        <v>0</v>
      </c>
      <c r="Q30" s="2"/>
      <c r="R30" s="19"/>
      <c r="S30" s="2"/>
      <c r="T30" s="2">
        <f>--80.71</f>
        <v>80.709999999999994</v>
      </c>
      <c r="U30" s="2"/>
      <c r="V30" s="19"/>
      <c r="W30" s="2"/>
      <c r="X30" s="2">
        <f t="shared" si="2"/>
        <v>-80.709999999999994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7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8"/>
        <v>0</v>
      </c>
      <c r="Q31" s="2"/>
      <c r="R31" s="19"/>
      <c r="S31" s="2"/>
      <c r="T31" s="2">
        <f>--45.53</f>
        <v>45.53</v>
      </c>
      <c r="U31" s="2"/>
      <c r="V31" s="19"/>
      <c r="W31" s="2"/>
      <c r="X31" s="2">
        <f t="shared" si="2"/>
        <v>-45.53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7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8"/>
        <v>0</v>
      </c>
      <c r="Q32" s="2"/>
      <c r="R32" s="19"/>
      <c r="S32" s="2"/>
      <c r="T32" s="2">
        <f>--68.25</f>
        <v>68.25</v>
      </c>
      <c r="U32" s="2"/>
      <c r="V32" s="19"/>
      <c r="W32" s="2"/>
      <c r="X32" s="2">
        <f t="shared" si="2"/>
        <v>-68.25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 t="shared" si="7"/>
        <v>0</v>
      </c>
      <c r="E33" s="2"/>
      <c r="F33" s="19"/>
      <c r="G33" s="2"/>
      <c r="H33" s="2">
        <f>--3339.7</f>
        <v>3339.7</v>
      </c>
      <c r="I33" s="2"/>
      <c r="J33" s="19"/>
      <c r="K33" s="2"/>
      <c r="L33" s="2">
        <f t="shared" si="0"/>
        <v>-3339.7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--17452.44</f>
        <v>17452.439999999999</v>
      </c>
      <c r="U33" s="2"/>
      <c r="V33" s="19"/>
      <c r="W33" s="2"/>
      <c r="X33" s="2">
        <f t="shared" si="2"/>
        <v>-17452.439999999999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 t="shared" si="7"/>
        <v>0</v>
      </c>
      <c r="E34" s="2"/>
      <c r="F34" s="19"/>
      <c r="G34" s="2"/>
      <c r="H34" s="2">
        <f>--555.74</f>
        <v>555.74</v>
      </c>
      <c r="I34" s="2"/>
      <c r="J34" s="19"/>
      <c r="K34" s="2"/>
      <c r="L34" s="2">
        <f t="shared" si="0"/>
        <v>-555.74</v>
      </c>
      <c r="M34" s="2"/>
      <c r="N34" s="19">
        <f t="shared" si="1"/>
        <v>-1</v>
      </c>
      <c r="O34" s="11"/>
      <c r="P34" s="2">
        <f t="shared" si="8"/>
        <v>0</v>
      </c>
      <c r="Q34" s="2"/>
      <c r="R34" s="19"/>
      <c r="S34" s="2"/>
      <c r="T34" s="2">
        <f>--2487.49</f>
        <v>2487.4899999999998</v>
      </c>
      <c r="U34" s="2"/>
      <c r="V34" s="19"/>
      <c r="W34" s="2"/>
      <c r="X34" s="2">
        <f t="shared" si="2"/>
        <v>-2487.4899999999998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 t="shared" si="7"/>
        <v>0</v>
      </c>
      <c r="E35" s="2"/>
      <c r="F35" s="19"/>
      <c r="G35" s="2"/>
      <c r="H35" s="2">
        <f>--30.16</f>
        <v>30.16</v>
      </c>
      <c r="I35" s="2"/>
      <c r="J35" s="19"/>
      <c r="K35" s="2"/>
      <c r="L35" s="2">
        <f t="shared" si="0"/>
        <v>-30.16</v>
      </c>
      <c r="M35" s="2"/>
      <c r="N35" s="19">
        <f t="shared" si="1"/>
        <v>-1</v>
      </c>
      <c r="O35" s="11"/>
      <c r="P35" s="2">
        <f t="shared" si="8"/>
        <v>0</v>
      </c>
      <c r="Q35" s="2"/>
      <c r="R35" s="19"/>
      <c r="S35" s="2"/>
      <c r="T35" s="2">
        <f>--1003.75</f>
        <v>1003.75</v>
      </c>
      <c r="U35" s="2"/>
      <c r="V35" s="19"/>
      <c r="W35" s="2"/>
      <c r="X35" s="2">
        <f t="shared" si="2"/>
        <v>-1003.75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 t="shared" si="7"/>
        <v>0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si="8"/>
        <v>0</v>
      </c>
      <c r="Q36" s="2"/>
      <c r="R36" s="19"/>
      <c r="S36" s="2"/>
      <c r="T36" s="2">
        <f>--19.98</f>
        <v>19.98</v>
      </c>
      <c r="U36" s="2"/>
      <c r="V36" s="19"/>
      <c r="W36" s="2"/>
      <c r="X36" s="2">
        <f t="shared" si="2"/>
        <v>-19.98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 t="shared" si="7"/>
        <v>0</v>
      </c>
      <c r="E37" s="2"/>
      <c r="F37" s="19"/>
      <c r="G37" s="2"/>
      <c r="H37" s="2">
        <f>--59.95</f>
        <v>59.95</v>
      </c>
      <c r="I37" s="2"/>
      <c r="J37" s="19"/>
      <c r="K37" s="2"/>
      <c r="L37" s="2">
        <f t="shared" si="0"/>
        <v>-59.95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--215.75</f>
        <v>215.75</v>
      </c>
      <c r="U37" s="2"/>
      <c r="V37" s="19"/>
      <c r="W37" s="2"/>
      <c r="X37" s="2">
        <f t="shared" si="2"/>
        <v>-215.75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 t="shared" si="7"/>
        <v>0</v>
      </c>
      <c r="E38" s="2"/>
      <c r="F38" s="19"/>
      <c r="G38" s="2"/>
      <c r="H38" s="2">
        <f t="shared" ref="H38:H39" si="10"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 t="shared" si="8"/>
        <v>0</v>
      </c>
      <c r="Q38" s="2"/>
      <c r="R38" s="19"/>
      <c r="S38" s="2"/>
      <c r="T38" s="2">
        <f>--35846</f>
        <v>35846</v>
      </c>
      <c r="U38" s="2"/>
      <c r="V38" s="19"/>
      <c r="W38" s="2"/>
      <c r="X38" s="2">
        <f t="shared" si="2"/>
        <v>-35846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"4200", " - ", "TAXABLE RETURNS")</f>
        <v xml:space="preserve">          4200 - TAXABLE RETURNS</v>
      </c>
      <c r="C39" s="11"/>
      <c r="D39" s="2">
        <f>-10646.11</f>
        <v>-10646.11</v>
      </c>
      <c r="E39" s="2"/>
      <c r="F39" s="19"/>
      <c r="G39" s="2"/>
      <c r="H39" s="2">
        <f t="shared" si="10"/>
        <v>0</v>
      </c>
      <c r="I39" s="2"/>
      <c r="J39" s="19"/>
      <c r="K39" s="2"/>
      <c r="L39" s="2">
        <f t="shared" si="0"/>
        <v>-10646.11</v>
      </c>
      <c r="M39" s="2"/>
      <c r="N39" s="19">
        <f t="shared" si="1"/>
        <v>0</v>
      </c>
      <c r="O39" s="11"/>
      <c r="P39" s="2">
        <f>-23494.44</f>
        <v>-23494.44</v>
      </c>
      <c r="Q39" s="2"/>
      <c r="R39" s="19"/>
      <c r="S39" s="2"/>
      <c r="T39" s="2">
        <f>0</f>
        <v>0</v>
      </c>
      <c r="U39" s="2"/>
      <c r="V39" s="19"/>
      <c r="W39" s="2"/>
      <c r="X39" s="2">
        <f t="shared" si="2"/>
        <v>-23494.44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"4226", " - ", "SALES RETURN TAXABLE-WRITING I")</f>
        <v xml:space="preserve">          4226 - SALES RETURN TAXABLE-WRITING I</v>
      </c>
      <c r="C40" s="11"/>
      <c r="D40" s="2">
        <f t="shared" ref="D40:D47" si="11">0</f>
        <v>0</v>
      </c>
      <c r="E40" s="2"/>
      <c r="F40" s="19"/>
      <c r="G40" s="2"/>
      <c r="H40" s="2">
        <f>-22.49</f>
        <v>-22.49</v>
      </c>
      <c r="I40" s="2"/>
      <c r="J40" s="19"/>
      <c r="K40" s="2"/>
      <c r="L40" s="2">
        <f t="shared" si="0"/>
        <v>22.49</v>
      </c>
      <c r="M40" s="2"/>
      <c r="N40" s="19">
        <f t="shared" si="1"/>
        <v>-1</v>
      </c>
      <c r="O40" s="11"/>
      <c r="P40" s="2">
        <f t="shared" ref="P40:P47" si="12">0</f>
        <v>0</v>
      </c>
      <c r="Q40" s="2"/>
      <c r="R40" s="19"/>
      <c r="S40" s="2"/>
      <c r="T40" s="2">
        <f>-28.87</f>
        <v>-28.87</v>
      </c>
      <c r="U40" s="2"/>
      <c r="V40" s="19"/>
      <c r="W40" s="2"/>
      <c r="X40" s="2">
        <f t="shared" si="2"/>
        <v>28.87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"4227", " - ", "SALES RETURN TAXABLE-SCHOOL SU")</f>
        <v xml:space="preserve">          4227 - SALES RETURN TAXABLE-SCHOOL SU</v>
      </c>
      <c r="C41" s="11"/>
      <c r="D41" s="2">
        <f t="shared" si="11"/>
        <v>0</v>
      </c>
      <c r="E41" s="2"/>
      <c r="F41" s="19"/>
      <c r="G41" s="2"/>
      <c r="H41" s="2">
        <f>-132.71</f>
        <v>-132.71</v>
      </c>
      <c r="I41" s="2"/>
      <c r="J41" s="19"/>
      <c r="K41" s="2"/>
      <c r="L41" s="2">
        <f t="shared" si="0"/>
        <v>132.71</v>
      </c>
      <c r="M41" s="2"/>
      <c r="N41" s="19">
        <f t="shared" si="1"/>
        <v>-1</v>
      </c>
      <c r="O41" s="11"/>
      <c r="P41" s="2">
        <f t="shared" si="12"/>
        <v>0</v>
      </c>
      <c r="Q41" s="2"/>
      <c r="R41" s="19"/>
      <c r="S41" s="2"/>
      <c r="T41" s="2">
        <f>-408.7</f>
        <v>-408.7</v>
      </c>
      <c r="U41" s="2"/>
      <c r="V41" s="19"/>
      <c r="W41" s="2"/>
      <c r="X41" s="2">
        <f t="shared" si="2"/>
        <v>408.7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 t="shared" si="11"/>
        <v>0</v>
      </c>
      <c r="E42" s="2"/>
      <c r="F42" s="19"/>
      <c r="G42" s="2"/>
      <c r="H42" s="2">
        <f>-3453.14</f>
        <v>-3453.14</v>
      </c>
      <c r="I42" s="2"/>
      <c r="J42" s="19"/>
      <c r="K42" s="2"/>
      <c r="L42" s="2">
        <f t="shared" si="0"/>
        <v>3453.14</v>
      </c>
      <c r="M42" s="2"/>
      <c r="N42" s="19">
        <f t="shared" si="1"/>
        <v>-1</v>
      </c>
      <c r="O42" s="11"/>
      <c r="P42" s="2">
        <f t="shared" si="12"/>
        <v>0</v>
      </c>
      <c r="Q42" s="2"/>
      <c r="R42" s="19"/>
      <c r="S42" s="2"/>
      <c r="T42" s="2">
        <f>-11609.96</f>
        <v>-11609.96</v>
      </c>
      <c r="U42" s="2"/>
      <c r="V42" s="19"/>
      <c r="W42" s="2"/>
      <c r="X42" s="2">
        <f t="shared" si="2"/>
        <v>11609.96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 t="shared" si="11"/>
        <v>0</v>
      </c>
      <c r="E43" s="2"/>
      <c r="F43" s="19"/>
      <c r="G43" s="2"/>
      <c r="H43" s="2">
        <f>-754.62</f>
        <v>-754.62</v>
      </c>
      <c r="I43" s="2"/>
      <c r="J43" s="19"/>
      <c r="K43" s="2"/>
      <c r="L43" s="2">
        <f t="shared" si="0"/>
        <v>754.62</v>
      </c>
      <c r="M43" s="2"/>
      <c r="N43" s="19">
        <f t="shared" si="1"/>
        <v>-1</v>
      </c>
      <c r="O43" s="11"/>
      <c r="P43" s="2">
        <f t="shared" si="12"/>
        <v>0</v>
      </c>
      <c r="Q43" s="2"/>
      <c r="R43" s="19"/>
      <c r="S43" s="2"/>
      <c r="T43" s="2">
        <f>-1561.36</f>
        <v>-1561.36</v>
      </c>
      <c r="U43" s="2"/>
      <c r="V43" s="19"/>
      <c r="W43" s="2"/>
      <c r="X43" s="2">
        <f t="shared" si="2"/>
        <v>1561.36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 t="shared" si="11"/>
        <v>0</v>
      </c>
      <c r="E44" s="2"/>
      <c r="F44" s="19"/>
      <c r="G44" s="2"/>
      <c r="H44" s="2">
        <f>-405.07</f>
        <v>-405.07</v>
      </c>
      <c r="I44" s="2"/>
      <c r="J44" s="19"/>
      <c r="K44" s="2"/>
      <c r="L44" s="2">
        <f t="shared" si="0"/>
        <v>405.07</v>
      </c>
      <c r="M44" s="2"/>
      <c r="N44" s="19">
        <f t="shared" si="1"/>
        <v>-1</v>
      </c>
      <c r="O44" s="11"/>
      <c r="P44" s="2">
        <f t="shared" si="12"/>
        <v>0</v>
      </c>
      <c r="Q44" s="2"/>
      <c r="R44" s="19"/>
      <c r="S44" s="2"/>
      <c r="T44" s="2">
        <f>-1054.56</f>
        <v>-1054.56</v>
      </c>
      <c r="U44" s="2"/>
      <c r="V44" s="19"/>
      <c r="W44" s="2"/>
      <c r="X44" s="2">
        <f t="shared" si="2"/>
        <v>1054.56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 t="shared" si="11"/>
        <v>0</v>
      </c>
      <c r="E45" s="2"/>
      <c r="F45" s="19"/>
      <c r="G45" s="2"/>
      <c r="H45" s="2">
        <f>-59.94</f>
        <v>-59.94</v>
      </c>
      <c r="I45" s="2"/>
      <c r="J45" s="19"/>
      <c r="K45" s="2"/>
      <c r="L45" s="2">
        <f t="shared" si="0"/>
        <v>59.94</v>
      </c>
      <c r="M45" s="2"/>
      <c r="N45" s="19">
        <f t="shared" si="1"/>
        <v>-1</v>
      </c>
      <c r="O45" s="11"/>
      <c r="P45" s="2">
        <f t="shared" si="12"/>
        <v>0</v>
      </c>
      <c r="Q45" s="2"/>
      <c r="R45" s="19"/>
      <c r="S45" s="2"/>
      <c r="T45" s="2">
        <f>-153.37</f>
        <v>-153.37</v>
      </c>
      <c r="U45" s="2"/>
      <c r="V45" s="19"/>
      <c r="W45" s="2"/>
      <c r="X45" s="2">
        <f t="shared" si="2"/>
        <v>153.37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 t="shared" si="11"/>
        <v>0</v>
      </c>
      <c r="E46" s="2"/>
      <c r="F46" s="19"/>
      <c r="G46" s="2"/>
      <c r="H46" s="2">
        <f>-60</f>
        <v>-60</v>
      </c>
      <c r="I46" s="2"/>
      <c r="J46" s="19"/>
      <c r="K46" s="2"/>
      <c r="L46" s="2">
        <f t="shared" si="0"/>
        <v>60</v>
      </c>
      <c r="M46" s="2"/>
      <c r="N46" s="19">
        <f t="shared" si="1"/>
        <v>-1</v>
      </c>
      <c r="O46" s="11"/>
      <c r="P46" s="2">
        <f t="shared" si="12"/>
        <v>0</v>
      </c>
      <c r="Q46" s="2"/>
      <c r="R46" s="19"/>
      <c r="S46" s="2"/>
      <c r="T46" s="2">
        <f>-410.99</f>
        <v>-410.99</v>
      </c>
      <c r="U46" s="2"/>
      <c r="V46" s="19"/>
      <c r="W46" s="2"/>
      <c r="X46" s="2">
        <f t="shared" si="2"/>
        <v>410.99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 t="shared" si="11"/>
        <v>0</v>
      </c>
      <c r="E47" s="2"/>
      <c r="F47" s="19"/>
      <c r="G47" s="2"/>
      <c r="H47" s="2">
        <f>-3.99</f>
        <v>-3.99</v>
      </c>
      <c r="I47" s="2"/>
      <c r="J47" s="19"/>
      <c r="K47" s="2"/>
      <c r="L47" s="2">
        <f t="shared" si="0"/>
        <v>3.99</v>
      </c>
      <c r="M47" s="2"/>
      <c r="N47" s="19">
        <f t="shared" si="1"/>
        <v>-1</v>
      </c>
      <c r="O47" s="11"/>
      <c r="P47" s="2">
        <f t="shared" si="12"/>
        <v>0</v>
      </c>
      <c r="Q47" s="2"/>
      <c r="R47" s="19"/>
      <c r="S47" s="2"/>
      <c r="T47" s="2">
        <f>-1182.95</f>
        <v>-1182.95</v>
      </c>
      <c r="U47" s="2"/>
      <c r="V47" s="19"/>
      <c r="W47" s="2"/>
      <c r="X47" s="2">
        <f t="shared" si="2"/>
        <v>1182.95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"4300", " - ", "NON-TAX RETURNS")</f>
        <v xml:space="preserve">          4300 - NON-TAX RETURNS</v>
      </c>
      <c r="C48" s="11"/>
      <c r="D48" s="2">
        <f>-340.78</f>
        <v>-340.78</v>
      </c>
      <c r="E48" s="2"/>
      <c r="F48" s="19"/>
      <c r="G48" s="2"/>
      <c r="H48" s="2">
        <f>0</f>
        <v>0</v>
      </c>
      <c r="I48" s="2"/>
      <c r="J48" s="19"/>
      <c r="K48" s="2"/>
      <c r="L48" s="2">
        <f t="shared" si="0"/>
        <v>-340.78</v>
      </c>
      <c r="M48" s="2"/>
      <c r="N48" s="19">
        <f t="shared" si="1"/>
        <v>0</v>
      </c>
      <c r="O48" s="11"/>
      <c r="P48" s="2">
        <f>-558.98</f>
        <v>-558.98</v>
      </c>
      <c r="Q48" s="2"/>
      <c r="R48" s="19"/>
      <c r="S48" s="2"/>
      <c r="T48" s="2">
        <f>0</f>
        <v>0</v>
      </c>
      <c r="U48" s="2"/>
      <c r="V48" s="19"/>
      <c r="W48" s="2"/>
      <c r="X48" s="2">
        <f t="shared" si="2"/>
        <v>-558.98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"4340", " - ", "SALES RETURN NON TAXABLE-LOGO")</f>
        <v xml:space="preserve">          4340 - SALES RETURN NON TAXABLE-LOGO</v>
      </c>
      <c r="C49" s="11"/>
      <c r="D49" s="2">
        <f t="shared" ref="D49:D51" si="13">0</f>
        <v>0</v>
      </c>
      <c r="E49" s="2"/>
      <c r="F49" s="19"/>
      <c r="G49" s="2"/>
      <c r="H49" s="2">
        <f>-36.9</f>
        <v>-36.9</v>
      </c>
      <c r="I49" s="2"/>
      <c r="J49" s="19"/>
      <c r="K49" s="2"/>
      <c r="L49" s="2">
        <f t="shared" si="0"/>
        <v>36.9</v>
      </c>
      <c r="M49" s="2"/>
      <c r="N49" s="19">
        <f t="shared" si="1"/>
        <v>-1</v>
      </c>
      <c r="O49" s="11"/>
      <c r="P49" s="2">
        <f t="shared" ref="P49:P51" si="14">0</f>
        <v>0</v>
      </c>
      <c r="Q49" s="2"/>
      <c r="R49" s="19"/>
      <c r="S49" s="2"/>
      <c r="T49" s="2">
        <f>-541.04</f>
        <v>-541.04</v>
      </c>
      <c r="U49" s="2"/>
      <c r="V49" s="19"/>
      <c r="W49" s="2"/>
      <c r="X49" s="2">
        <f t="shared" si="2"/>
        <v>541.04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"4341", " - ", "SALES RETURN NON TAXABLE-LOGO")</f>
        <v xml:space="preserve">          4341 - SALES RETURN NON TAXABLE-LOGO</v>
      </c>
      <c r="C50" s="11"/>
      <c r="D50" s="2">
        <f t="shared" si="13"/>
        <v>0</v>
      </c>
      <c r="E50" s="2"/>
      <c r="F50" s="19"/>
      <c r="G50" s="2"/>
      <c r="H50" s="2">
        <f>-129.95</f>
        <v>-129.94999999999999</v>
      </c>
      <c r="I50" s="2"/>
      <c r="J50" s="19"/>
      <c r="K50" s="2"/>
      <c r="L50" s="2">
        <f t="shared" si="0"/>
        <v>129.94999999999999</v>
      </c>
      <c r="M50" s="2"/>
      <c r="N50" s="19">
        <f t="shared" si="1"/>
        <v>-1</v>
      </c>
      <c r="O50" s="11"/>
      <c r="P50" s="2">
        <f t="shared" si="14"/>
        <v>0</v>
      </c>
      <c r="Q50" s="2"/>
      <c r="R50" s="19"/>
      <c r="S50" s="2"/>
      <c r="T50" s="2">
        <f>-146.9</f>
        <v>-146.9</v>
      </c>
      <c r="U50" s="2"/>
      <c r="V50" s="19"/>
      <c r="W50" s="2"/>
      <c r="X50" s="2">
        <f t="shared" si="2"/>
        <v>146.9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"4342", " - ", "SALES RETURN NON TAXABLE-EVERY")</f>
        <v xml:space="preserve">          4342 - SALES RETURN NON TAXABLE-EVERY</v>
      </c>
      <c r="C51" s="11"/>
      <c r="D51" s="2">
        <f t="shared" si="13"/>
        <v>0</v>
      </c>
      <c r="E51" s="2"/>
      <c r="F51" s="19"/>
      <c r="G51" s="2"/>
      <c r="H51" s="2">
        <f>-24.95</f>
        <v>-24.95</v>
      </c>
      <c r="I51" s="2"/>
      <c r="J51" s="19"/>
      <c r="K51" s="2"/>
      <c r="L51" s="2">
        <f t="shared" si="0"/>
        <v>24.95</v>
      </c>
      <c r="M51" s="2"/>
      <c r="N51" s="19">
        <f t="shared" si="1"/>
        <v>-1</v>
      </c>
      <c r="O51" s="11"/>
      <c r="P51" s="2">
        <f t="shared" si="14"/>
        <v>0</v>
      </c>
      <c r="Q51" s="2"/>
      <c r="R51" s="19"/>
      <c r="S51" s="2"/>
      <c r="T51" s="2">
        <f>-118.7</f>
        <v>-118.7</v>
      </c>
      <c r="U51" s="2"/>
      <c r="V51" s="19"/>
      <c r="W51" s="2"/>
      <c r="X51" s="2">
        <f t="shared" si="2"/>
        <v>118.7</v>
      </c>
      <c r="Y51" s="2"/>
      <c r="Z51" s="19">
        <f t="shared" si="3"/>
        <v>-1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collapsed="1" x14ac:dyDescent="0.25">
      <c r="A53" s="10"/>
      <c r="B53" s="26" t="s">
        <v>256</v>
      </c>
      <c r="C53" s="10"/>
      <c r="D53" s="4">
        <f>SUM(OSRRefD16x_0)</f>
        <v>145176.92000000001</v>
      </c>
      <c r="E53" s="4"/>
      <c r="F53" s="12">
        <f t="shared" ref="F53:F73" si="15">IF(D$12=0,0,D53/D$12)</f>
        <v>0.47150929566617972</v>
      </c>
      <c r="G53" s="4"/>
      <c r="H53" s="4">
        <f>SUM(OSRRefH16x_0)</f>
        <v>68684.60000000002</v>
      </c>
      <c r="I53" s="4"/>
      <c r="J53" s="12">
        <f t="shared" ref="J53:J73" si="16">IF(H$12=0,0,H53/H$12)</f>
        <v>0.60372427575518517</v>
      </c>
      <c r="K53" s="4"/>
      <c r="L53" s="4">
        <f t="shared" ref="L53:L73" si="17">+D53-H53</f>
        <v>76492.319999999992</v>
      </c>
      <c r="M53" s="4"/>
      <c r="N53" s="12">
        <f t="shared" ref="N53:N73" si="18">IF(H53=0,0,L53/H53)</f>
        <v>1.1136749722645247</v>
      </c>
      <c r="O53" s="10"/>
      <c r="P53" s="4">
        <f>SUM(OSRRefP16x_0)</f>
        <v>408097.54</v>
      </c>
      <c r="Q53" s="4"/>
      <c r="R53" s="12">
        <f t="shared" ref="R53:R73" si="19">IF(P$12=0,0,P53/P$12)</f>
        <v>0.45627297618292134</v>
      </c>
      <c r="S53" s="4"/>
      <c r="T53" s="4">
        <f>SUM(OSRRefT16x_0)</f>
        <v>359280.54000000004</v>
      </c>
      <c r="U53" s="4"/>
      <c r="V53" s="12">
        <f t="shared" ref="V53:V73" si="20">IF(T$12=0,0,T53/T$12)</f>
        <v>0.59919305187935334</v>
      </c>
      <c r="W53" s="4"/>
      <c r="X53" s="4">
        <f t="shared" ref="X53:X73" si="21">+P53-T53</f>
        <v>48816.999999999942</v>
      </c>
      <c r="Y53" s="4"/>
      <c r="Z53" s="12">
        <f t="shared" ref="Z53:Z73" si="22">IF(T53=0,0,X53/T53)</f>
        <v>0.13587432261151672</v>
      </c>
    </row>
    <row r="54" spans="1:26" s="24" customFormat="1" hidden="1" outlineLevel="1" x14ac:dyDescent="0.25">
      <c r="A54" s="44"/>
      <c r="B54" s="11" t="str">
        <f>CONCATENATE("          ", "5000", " - ", "PURCHASES @ COST")</f>
        <v xml:space="preserve">          5000 - PURCHASES @ COST</v>
      </c>
      <c r="C54" s="11"/>
      <c r="D54" s="2">
        <v>134247.25</v>
      </c>
      <c r="E54" s="2"/>
      <c r="F54" s="19">
        <f t="shared" si="15"/>
        <v>0.43601163526972148</v>
      </c>
      <c r="G54" s="2"/>
      <c r="H54" s="2"/>
      <c r="I54" s="2"/>
      <c r="J54" s="19">
        <f t="shared" si="16"/>
        <v>0</v>
      </c>
      <c r="K54" s="2"/>
      <c r="L54" s="2">
        <f t="shared" si="17"/>
        <v>134247.25</v>
      </c>
      <c r="M54" s="2"/>
      <c r="N54" s="19">
        <f t="shared" si="18"/>
        <v>0</v>
      </c>
      <c r="O54" s="11"/>
      <c r="P54" s="2">
        <v>278504.89</v>
      </c>
      <c r="Q54" s="2"/>
      <c r="R54" s="19">
        <f t="shared" si="19"/>
        <v>0.31138206577230809</v>
      </c>
      <c r="S54" s="2"/>
      <c r="T54" s="2"/>
      <c r="U54" s="2"/>
      <c r="V54" s="19">
        <f t="shared" si="20"/>
        <v>0</v>
      </c>
      <c r="W54" s="2"/>
      <c r="X54" s="2">
        <f t="shared" si="21"/>
        <v>278504.89</v>
      </c>
      <c r="Y54" s="2"/>
      <c r="Z54" s="19">
        <f t="shared" si="22"/>
        <v>0</v>
      </c>
    </row>
    <row r="55" spans="1:26" s="24" customFormat="1" hidden="1" outlineLevel="1" x14ac:dyDescent="0.25">
      <c r="A55" s="44"/>
      <c r="B55" s="11" t="str">
        <f>CONCATENATE("          ", "5027", " - ", "PURCHASES @ COST-SCHOOL SUPPLI")</f>
        <v xml:space="preserve">          5027 - PURCHASES @ COST-SCHOOL SUPPLI</v>
      </c>
      <c r="C55" s="11"/>
      <c r="D55" s="2">
        <v>0</v>
      </c>
      <c r="E55" s="2"/>
      <c r="F55" s="19">
        <f t="shared" si="15"/>
        <v>0</v>
      </c>
      <c r="G55" s="2"/>
      <c r="H55" s="2"/>
      <c r="I55" s="2"/>
      <c r="J55" s="19">
        <f t="shared" si="16"/>
        <v>0</v>
      </c>
      <c r="K55" s="2"/>
      <c r="L55" s="2">
        <f t="shared" si="17"/>
        <v>0</v>
      </c>
      <c r="M55" s="2"/>
      <c r="N55" s="19">
        <f t="shared" si="18"/>
        <v>0</v>
      </c>
      <c r="O55" s="11"/>
      <c r="P55" s="2">
        <v>0</v>
      </c>
      <c r="Q55" s="2"/>
      <c r="R55" s="19">
        <f t="shared" si="19"/>
        <v>0</v>
      </c>
      <c r="S55" s="2"/>
      <c r="T55" s="2">
        <v>8503.4</v>
      </c>
      <c r="U55" s="2"/>
      <c r="V55" s="19">
        <f t="shared" si="20"/>
        <v>1.4181614727451958E-2</v>
      </c>
      <c r="W55" s="2"/>
      <c r="X55" s="2">
        <f t="shared" si="21"/>
        <v>-8503.4</v>
      </c>
      <c r="Y55" s="2"/>
      <c r="Z55" s="19">
        <f t="shared" si="22"/>
        <v>-1</v>
      </c>
    </row>
    <row r="56" spans="1:26" s="24" customFormat="1" hidden="1" outlineLevel="1" x14ac:dyDescent="0.25">
      <c r="A56" s="44"/>
      <c r="B56" s="11" t="str">
        <f>CONCATENATE("          ", "5028", " - ", "PURCHASES @ COST-ART/TECH")</f>
        <v xml:space="preserve">          5028 - PURCHASES @ COST-ART/TECH</v>
      </c>
      <c r="C56" s="11"/>
      <c r="D56" s="2">
        <v>0</v>
      </c>
      <c r="E56" s="2"/>
      <c r="F56" s="19">
        <f t="shared" si="15"/>
        <v>0</v>
      </c>
      <c r="G56" s="2"/>
      <c r="H56" s="2">
        <v>-83.4</v>
      </c>
      <c r="I56" s="2"/>
      <c r="J56" s="19">
        <f t="shared" si="16"/>
        <v>-7.3306977980482427E-4</v>
      </c>
      <c r="K56" s="2"/>
      <c r="L56" s="2">
        <f t="shared" si="17"/>
        <v>83.4</v>
      </c>
      <c r="M56" s="2"/>
      <c r="N56" s="19">
        <f t="shared" si="18"/>
        <v>-1</v>
      </c>
      <c r="O56" s="11"/>
      <c r="P56" s="2">
        <v>0</v>
      </c>
      <c r="Q56" s="2"/>
      <c r="R56" s="19">
        <f t="shared" si="19"/>
        <v>0</v>
      </c>
      <c r="S56" s="2"/>
      <c r="T56" s="2">
        <v>-83.4</v>
      </c>
      <c r="U56" s="2"/>
      <c r="V56" s="19">
        <f t="shared" si="20"/>
        <v>-1.390910304430573E-4</v>
      </c>
      <c r="W56" s="2"/>
      <c r="X56" s="2">
        <f t="shared" si="21"/>
        <v>83.4</v>
      </c>
      <c r="Y56" s="2"/>
      <c r="Z56" s="19">
        <f t="shared" si="22"/>
        <v>-1</v>
      </c>
    </row>
    <row r="57" spans="1:26" s="24" customFormat="1" hidden="1" outlineLevel="1" x14ac:dyDescent="0.25">
      <c r="A57" s="44"/>
      <c r="B57" s="11" t="str">
        <f>CONCATENATE("          ", "5031", " - ", "PURCHASES @ COST-FOOD")</f>
        <v xml:space="preserve">          5031 - PURCHASES @ COST-FOOD</v>
      </c>
      <c r="C57" s="11"/>
      <c r="D57" s="2">
        <v>0</v>
      </c>
      <c r="E57" s="2"/>
      <c r="F57" s="19">
        <f t="shared" si="15"/>
        <v>0</v>
      </c>
      <c r="G57" s="2"/>
      <c r="H57" s="2">
        <v>1183.51</v>
      </c>
      <c r="I57" s="2"/>
      <c r="J57" s="19">
        <f t="shared" si="16"/>
        <v>1.0402822722983303E-2</v>
      </c>
      <c r="K57" s="2"/>
      <c r="L57" s="2">
        <f t="shared" si="17"/>
        <v>-1183.51</v>
      </c>
      <c r="M57" s="2"/>
      <c r="N57" s="19">
        <f t="shared" si="18"/>
        <v>-1</v>
      </c>
      <c r="O57" s="11"/>
      <c r="P57" s="2">
        <v>0</v>
      </c>
      <c r="Q57" s="2"/>
      <c r="R57" s="19">
        <f t="shared" si="19"/>
        <v>0</v>
      </c>
      <c r="S57" s="2"/>
      <c r="T57" s="2">
        <v>1183.51</v>
      </c>
      <c r="U57" s="2"/>
      <c r="V57" s="19">
        <f t="shared" si="20"/>
        <v>1.9738084585091452E-3</v>
      </c>
      <c r="W57" s="2"/>
      <c r="X57" s="2">
        <f t="shared" si="21"/>
        <v>-1183.51</v>
      </c>
      <c r="Y57" s="2"/>
      <c r="Z57" s="19">
        <f t="shared" si="22"/>
        <v>-1</v>
      </c>
    </row>
    <row r="58" spans="1:26" s="24" customFormat="1" hidden="1" outlineLevel="1" x14ac:dyDescent="0.25">
      <c r="A58" s="44"/>
      <c r="B58" s="11" t="str">
        <f>CONCATENATE("          ", "5040", " - ", "PURCHASES @ COST-LOGO CLOTHING")</f>
        <v xml:space="preserve">          5040 - PURCHASES @ COST-LOGO CLOTHING</v>
      </c>
      <c r="C58" s="11"/>
      <c r="D58" s="2">
        <v>0</v>
      </c>
      <c r="E58" s="2"/>
      <c r="F58" s="19">
        <f t="shared" si="15"/>
        <v>0</v>
      </c>
      <c r="G58" s="2"/>
      <c r="H58" s="2">
        <v>4398.1499999999996</v>
      </c>
      <c r="I58" s="2"/>
      <c r="J58" s="19">
        <f t="shared" si="16"/>
        <v>3.8658883118088579E-2</v>
      </c>
      <c r="K58" s="2"/>
      <c r="L58" s="2">
        <f t="shared" si="17"/>
        <v>-4398.1499999999996</v>
      </c>
      <c r="M58" s="2"/>
      <c r="N58" s="19">
        <f t="shared" si="18"/>
        <v>-1</v>
      </c>
      <c r="O58" s="11"/>
      <c r="P58" s="2">
        <v>0</v>
      </c>
      <c r="Q58" s="2"/>
      <c r="R58" s="19">
        <f t="shared" si="19"/>
        <v>0</v>
      </c>
      <c r="S58" s="2"/>
      <c r="T58" s="2">
        <v>13750.05</v>
      </c>
      <c r="U58" s="2"/>
      <c r="V58" s="19">
        <f t="shared" si="20"/>
        <v>2.2931758071265705E-2</v>
      </c>
      <c r="W58" s="2"/>
      <c r="X58" s="2">
        <f t="shared" si="21"/>
        <v>-13750.05</v>
      </c>
      <c r="Y58" s="2"/>
      <c r="Z58" s="19">
        <f t="shared" si="22"/>
        <v>-1</v>
      </c>
    </row>
    <row r="59" spans="1:26" s="24" customFormat="1" hidden="1" outlineLevel="1" x14ac:dyDescent="0.25">
      <c r="A59" s="44"/>
      <c r="B59" s="11" t="str">
        <f>CONCATENATE("          ", "5041", " - ", "PURCHASES @ COST-LOGO GIFTS")</f>
        <v xml:space="preserve">          5041 - PURCHASES @ COST-LOGO GIFTS</v>
      </c>
      <c r="C59" s="11"/>
      <c r="D59" s="2">
        <v>0</v>
      </c>
      <c r="E59" s="2"/>
      <c r="F59" s="19">
        <f t="shared" si="15"/>
        <v>0</v>
      </c>
      <c r="G59" s="2"/>
      <c r="H59" s="2">
        <v>868</v>
      </c>
      <c r="I59" s="2"/>
      <c r="J59" s="19">
        <f t="shared" si="16"/>
        <v>7.6295511854986503E-3</v>
      </c>
      <c r="K59" s="2"/>
      <c r="L59" s="2">
        <f t="shared" si="17"/>
        <v>-868</v>
      </c>
      <c r="M59" s="2"/>
      <c r="N59" s="19">
        <f t="shared" si="18"/>
        <v>-1</v>
      </c>
      <c r="O59" s="11"/>
      <c r="P59" s="2">
        <v>0</v>
      </c>
      <c r="Q59" s="2"/>
      <c r="R59" s="19">
        <f t="shared" si="19"/>
        <v>0</v>
      </c>
      <c r="S59" s="2"/>
      <c r="T59" s="2">
        <v>1997.54</v>
      </c>
      <c r="U59" s="2"/>
      <c r="V59" s="19">
        <f t="shared" si="20"/>
        <v>3.3314136325086887E-3</v>
      </c>
      <c r="W59" s="2"/>
      <c r="X59" s="2">
        <f t="shared" si="21"/>
        <v>-1997.54</v>
      </c>
      <c r="Y59" s="2"/>
      <c r="Z59" s="19">
        <f t="shared" si="22"/>
        <v>-1</v>
      </c>
    </row>
    <row r="60" spans="1:26" s="24" customFormat="1" hidden="1" outlineLevel="1" x14ac:dyDescent="0.25">
      <c r="A60" s="44"/>
      <c r="B60" s="11" t="str">
        <f>CONCATENATE("          ", "5042", " - ", "PURCHASES @ COST-EVERYDAY GIFT")</f>
        <v xml:space="preserve">          5042 - PURCHASES @ COST-EVERYDAY GIFT</v>
      </c>
      <c r="C60" s="11"/>
      <c r="D60" s="2"/>
      <c r="E60" s="2"/>
      <c r="F60" s="19">
        <f t="shared" si="15"/>
        <v>0</v>
      </c>
      <c r="G60" s="2"/>
      <c r="H60" s="2">
        <v>522</v>
      </c>
      <c r="I60" s="2"/>
      <c r="J60" s="19">
        <f t="shared" si="16"/>
        <v>4.5882784779150863E-3</v>
      </c>
      <c r="K60" s="2"/>
      <c r="L60" s="2">
        <f t="shared" si="17"/>
        <v>-522</v>
      </c>
      <c r="M60" s="2"/>
      <c r="N60" s="19">
        <f t="shared" si="18"/>
        <v>-1</v>
      </c>
      <c r="O60" s="11"/>
      <c r="P60" s="2">
        <v>0</v>
      </c>
      <c r="Q60" s="2"/>
      <c r="R60" s="19">
        <f t="shared" si="19"/>
        <v>0</v>
      </c>
      <c r="S60" s="2"/>
      <c r="T60" s="2">
        <v>1491.15</v>
      </c>
      <c r="U60" s="2"/>
      <c r="V60" s="19">
        <f t="shared" si="20"/>
        <v>2.4868775784791953E-3</v>
      </c>
      <c r="W60" s="2"/>
      <c r="X60" s="2">
        <f t="shared" si="21"/>
        <v>-1491.15</v>
      </c>
      <c r="Y60" s="2"/>
      <c r="Z60" s="19">
        <f t="shared" si="22"/>
        <v>-1</v>
      </c>
    </row>
    <row r="61" spans="1:26" s="24" customFormat="1" hidden="1" outlineLevel="1" x14ac:dyDescent="0.25">
      <c r="A61" s="44"/>
      <c r="B61" s="11" t="str">
        <f>CONCATENATE("          ", "5043", " - ", "PURCHASES @ COST-CARDS")</f>
        <v xml:space="preserve">          5043 - PURCHASES @ COST-CARDS</v>
      </c>
      <c r="C61" s="11"/>
      <c r="D61" s="2"/>
      <c r="E61" s="2"/>
      <c r="F61" s="19">
        <f t="shared" si="15"/>
        <v>0</v>
      </c>
      <c r="G61" s="2"/>
      <c r="H61" s="2">
        <v>1401</v>
      </c>
      <c r="I61" s="2"/>
      <c r="J61" s="19">
        <f t="shared" si="16"/>
        <v>1.2314517524059456E-2</v>
      </c>
      <c r="K61" s="2"/>
      <c r="L61" s="2">
        <f t="shared" si="17"/>
        <v>-1401</v>
      </c>
      <c r="M61" s="2"/>
      <c r="N61" s="19">
        <f t="shared" si="18"/>
        <v>-1</v>
      </c>
      <c r="O61" s="11"/>
      <c r="P61" s="2">
        <v>0</v>
      </c>
      <c r="Q61" s="2"/>
      <c r="R61" s="19">
        <f t="shared" si="19"/>
        <v>0</v>
      </c>
      <c r="S61" s="2"/>
      <c r="T61" s="2">
        <v>3116.25</v>
      </c>
      <c r="U61" s="2"/>
      <c r="V61" s="19">
        <f t="shared" si="20"/>
        <v>5.1971513623282643E-3</v>
      </c>
      <c r="W61" s="2"/>
      <c r="X61" s="2">
        <f t="shared" si="21"/>
        <v>-3116.25</v>
      </c>
      <c r="Y61" s="2"/>
      <c r="Z61" s="19">
        <f t="shared" si="22"/>
        <v>-1</v>
      </c>
    </row>
    <row r="62" spans="1:26" s="24" customFormat="1" hidden="1" outlineLevel="1" x14ac:dyDescent="0.25">
      <c r="A62" s="44"/>
      <c r="B62" s="11" t="str">
        <f>CONCATENATE("          ", "5044", " - ", "PURCHASES @ COST-ACCESSORIES")</f>
        <v xml:space="preserve">          5044 - PURCHASES @ COST-ACCESSORIES</v>
      </c>
      <c r="C62" s="11"/>
      <c r="D62" s="2"/>
      <c r="E62" s="2"/>
      <c r="F62" s="19">
        <f t="shared" si="15"/>
        <v>0</v>
      </c>
      <c r="G62" s="2"/>
      <c r="H62" s="2"/>
      <c r="I62" s="2"/>
      <c r="J62" s="19">
        <f t="shared" si="16"/>
        <v>0</v>
      </c>
      <c r="K62" s="2"/>
      <c r="L62" s="2">
        <f t="shared" si="17"/>
        <v>0</v>
      </c>
      <c r="M62" s="2"/>
      <c r="N62" s="19">
        <f t="shared" si="18"/>
        <v>0</v>
      </c>
      <c r="O62" s="11"/>
      <c r="P62" s="2">
        <v>0</v>
      </c>
      <c r="Q62" s="2"/>
      <c r="R62" s="19">
        <f t="shared" si="19"/>
        <v>0</v>
      </c>
      <c r="S62" s="2"/>
      <c r="T62" s="2"/>
      <c r="U62" s="2"/>
      <c r="V62" s="19">
        <f t="shared" si="20"/>
        <v>0</v>
      </c>
      <c r="W62" s="2"/>
      <c r="X62" s="2">
        <f t="shared" si="21"/>
        <v>0</v>
      </c>
      <c r="Y62" s="2"/>
      <c r="Z62" s="19">
        <f t="shared" si="22"/>
        <v>0</v>
      </c>
    </row>
    <row r="63" spans="1:26" s="24" customFormat="1" hidden="1" outlineLevel="1" x14ac:dyDescent="0.25">
      <c r="A63" s="44"/>
      <c r="B63" s="11" t="str">
        <f>CONCATENATE("          ", "5045", " - ", "PURCHASES @ COST-SPECIAL ORDER")</f>
        <v xml:space="preserve">          5045 - PURCHASES @ COST-SPECIAL ORDER</v>
      </c>
      <c r="C63" s="11"/>
      <c r="D63" s="2">
        <v>0</v>
      </c>
      <c r="E63" s="2"/>
      <c r="F63" s="19">
        <f t="shared" si="15"/>
        <v>0</v>
      </c>
      <c r="G63" s="2"/>
      <c r="H63" s="2">
        <v>52784.12</v>
      </c>
      <c r="I63" s="2"/>
      <c r="J63" s="19">
        <f t="shared" si="16"/>
        <v>0.46396214898790672</v>
      </c>
      <c r="K63" s="2"/>
      <c r="L63" s="2">
        <f t="shared" si="17"/>
        <v>-52784.12</v>
      </c>
      <c r="M63" s="2"/>
      <c r="N63" s="19">
        <f t="shared" si="18"/>
        <v>-1</v>
      </c>
      <c r="O63" s="11"/>
      <c r="P63" s="2">
        <v>0</v>
      </c>
      <c r="Q63" s="2"/>
      <c r="R63" s="19">
        <f t="shared" si="19"/>
        <v>0</v>
      </c>
      <c r="S63" s="2"/>
      <c r="T63" s="2">
        <v>61174.29</v>
      </c>
      <c r="U63" s="2"/>
      <c r="V63" s="19">
        <f t="shared" si="20"/>
        <v>0.10202392125566445</v>
      </c>
      <c r="W63" s="2"/>
      <c r="X63" s="2">
        <f t="shared" si="21"/>
        <v>-61174.29</v>
      </c>
      <c r="Y63" s="2"/>
      <c r="Z63" s="19">
        <f t="shared" si="22"/>
        <v>-1</v>
      </c>
    </row>
    <row r="64" spans="1:26" s="24" customFormat="1" hidden="1" outlineLevel="1" x14ac:dyDescent="0.25">
      <c r="A64" s="44"/>
      <c r="B64" s="11" t="str">
        <f>CONCATENATE("          ", "5200", " - ", "PURCHASES OFFSET")</f>
        <v xml:space="preserve">          5200 - PURCHASES OFFSET</v>
      </c>
      <c r="C64" s="11"/>
      <c r="D64" s="2">
        <v>-137158.98000000001</v>
      </c>
      <c r="E64" s="2"/>
      <c r="F64" s="19">
        <f t="shared" si="15"/>
        <v>-0.44546842607000908</v>
      </c>
      <c r="G64" s="2"/>
      <c r="H64" s="2">
        <v>-61907.24</v>
      </c>
      <c r="I64" s="2"/>
      <c r="J64" s="19">
        <f t="shared" si="16"/>
        <v>-0.54415259946192329</v>
      </c>
      <c r="K64" s="2"/>
      <c r="L64" s="2">
        <f t="shared" si="17"/>
        <v>-75251.74000000002</v>
      </c>
      <c r="M64" s="2"/>
      <c r="N64" s="19">
        <f t="shared" si="18"/>
        <v>1.215556371112652</v>
      </c>
      <c r="O64" s="11"/>
      <c r="P64" s="2">
        <v>-285827.11</v>
      </c>
      <c r="Q64" s="2"/>
      <c r="R64" s="19">
        <f t="shared" si="19"/>
        <v>-0.31956866525944566</v>
      </c>
      <c r="S64" s="2"/>
      <c r="T64" s="2">
        <v>-93556.88</v>
      </c>
      <c r="U64" s="2"/>
      <c r="V64" s="19">
        <f t="shared" si="20"/>
        <v>-0.15603024993090478</v>
      </c>
      <c r="W64" s="2"/>
      <c r="X64" s="2">
        <f t="shared" si="21"/>
        <v>-192270.22999999998</v>
      </c>
      <c r="Y64" s="2"/>
      <c r="Z64" s="19">
        <f t="shared" si="22"/>
        <v>2.0551158824449893</v>
      </c>
    </row>
    <row r="65" spans="1:26" s="24" customFormat="1" hidden="1" outlineLevel="1" x14ac:dyDescent="0.25">
      <c r="A65" s="44"/>
      <c r="B65" s="11" t="str">
        <f>CONCATENATE("          ", "5300", " - ", "COG$ OFFSET")</f>
        <v xml:space="preserve">          5300 - COG$ OFFSET</v>
      </c>
      <c r="C65" s="11"/>
      <c r="D65" s="2">
        <v>145176.92000000001</v>
      </c>
      <c r="E65" s="2"/>
      <c r="F65" s="19">
        <f t="shared" si="15"/>
        <v>0.47150929566617972</v>
      </c>
      <c r="G65" s="2"/>
      <c r="H65" s="2">
        <v>68768</v>
      </c>
      <c r="I65" s="2"/>
      <c r="J65" s="19">
        <f t="shared" si="16"/>
        <v>0.60445734553498986</v>
      </c>
      <c r="K65" s="2"/>
      <c r="L65" s="2">
        <f t="shared" si="17"/>
        <v>76408.920000000013</v>
      </c>
      <c r="M65" s="2"/>
      <c r="N65" s="19">
        <f t="shared" si="18"/>
        <v>1.1111115635179154</v>
      </c>
      <c r="O65" s="11"/>
      <c r="P65" s="2">
        <v>408097.54</v>
      </c>
      <c r="Q65" s="2"/>
      <c r="R65" s="19">
        <f t="shared" si="19"/>
        <v>0.45627297618292134</v>
      </c>
      <c r="S65" s="2"/>
      <c r="T65" s="2">
        <v>358364</v>
      </c>
      <c r="U65" s="2"/>
      <c r="V65" s="19">
        <f t="shared" si="20"/>
        <v>0.59766448481649614</v>
      </c>
      <c r="W65" s="2"/>
      <c r="X65" s="2">
        <f t="shared" si="21"/>
        <v>49733.539999999979</v>
      </c>
      <c r="Y65" s="2"/>
      <c r="Z65" s="19">
        <f t="shared" si="22"/>
        <v>0.13877939748412224</v>
      </c>
    </row>
    <row r="66" spans="1:26" s="24" customFormat="1" hidden="1" outlineLevel="1" x14ac:dyDescent="0.25">
      <c r="A66" s="44"/>
      <c r="B66" s="11" t="str">
        <f>CONCATENATE("          ", "5500", " - ", "FREIGHT-IN")</f>
        <v xml:space="preserve">          5500 - FREIGHT-IN</v>
      </c>
      <c r="C66" s="11"/>
      <c r="D66" s="2">
        <v>2911.73</v>
      </c>
      <c r="E66" s="2"/>
      <c r="F66" s="19">
        <f t="shared" si="15"/>
        <v>9.4567908002875754E-3</v>
      </c>
      <c r="G66" s="2"/>
      <c r="H66" s="2"/>
      <c r="I66" s="2"/>
      <c r="J66" s="19">
        <f t="shared" si="16"/>
        <v>0</v>
      </c>
      <c r="K66" s="2"/>
      <c r="L66" s="2">
        <f t="shared" si="17"/>
        <v>2911.73</v>
      </c>
      <c r="M66" s="2"/>
      <c r="N66" s="19">
        <f t="shared" si="18"/>
        <v>0</v>
      </c>
      <c r="O66" s="11"/>
      <c r="P66" s="2">
        <v>7322.22</v>
      </c>
      <c r="Q66" s="2"/>
      <c r="R66" s="19">
        <f t="shared" si="19"/>
        <v>8.1865994871375865E-3</v>
      </c>
      <c r="S66" s="2"/>
      <c r="T66" s="2"/>
      <c r="U66" s="2"/>
      <c r="V66" s="19">
        <f t="shared" si="20"/>
        <v>0</v>
      </c>
      <c r="W66" s="2"/>
      <c r="X66" s="2">
        <f t="shared" si="21"/>
        <v>7322.22</v>
      </c>
      <c r="Y66" s="2"/>
      <c r="Z66" s="19">
        <f t="shared" si="22"/>
        <v>0</v>
      </c>
    </row>
    <row r="67" spans="1:26" s="24" customFormat="1" hidden="1" outlineLevel="1" x14ac:dyDescent="0.25">
      <c r="A67" s="44"/>
      <c r="B67" s="11" t="str">
        <f>CONCATENATE("          ", "5527", " - ", "FREIGHT-IN-SCHOOL SUPPLIES")</f>
        <v xml:space="preserve">          5527 - FREIGHT-IN-SCHOOL SUPPLIES</v>
      </c>
      <c r="C67" s="11"/>
      <c r="D67" s="2"/>
      <c r="E67" s="2"/>
      <c r="F67" s="19">
        <f t="shared" si="15"/>
        <v>0</v>
      </c>
      <c r="G67" s="2"/>
      <c r="H67" s="2"/>
      <c r="I67" s="2"/>
      <c r="J67" s="19">
        <f t="shared" si="16"/>
        <v>0</v>
      </c>
      <c r="K67" s="2"/>
      <c r="L67" s="2">
        <f t="shared" si="17"/>
        <v>0</v>
      </c>
      <c r="M67" s="2"/>
      <c r="N67" s="19">
        <f t="shared" si="18"/>
        <v>0</v>
      </c>
      <c r="O67" s="11"/>
      <c r="P67" s="2">
        <v>0</v>
      </c>
      <c r="Q67" s="2"/>
      <c r="R67" s="19">
        <f t="shared" si="19"/>
        <v>0</v>
      </c>
      <c r="S67" s="2"/>
      <c r="T67" s="2"/>
      <c r="U67" s="2"/>
      <c r="V67" s="19">
        <f t="shared" si="20"/>
        <v>0</v>
      </c>
      <c r="W67" s="2"/>
      <c r="X67" s="2">
        <f t="shared" si="21"/>
        <v>0</v>
      </c>
      <c r="Y67" s="2"/>
      <c r="Z67" s="19">
        <f t="shared" si="22"/>
        <v>0</v>
      </c>
    </row>
    <row r="68" spans="1:26" s="24" customFormat="1" hidden="1" outlineLevel="1" x14ac:dyDescent="0.25">
      <c r="A68" s="44"/>
      <c r="B68" s="11" t="str">
        <f>CONCATENATE("          ", "5540", " - ", "FREIGHT-IN-LOGO CLOTHING")</f>
        <v xml:space="preserve">          5540 - FREIGHT-IN-LOGO CLOTHING</v>
      </c>
      <c r="C68" s="11"/>
      <c r="D68" s="2"/>
      <c r="E68" s="2"/>
      <c r="F68" s="19">
        <f t="shared" si="15"/>
        <v>0</v>
      </c>
      <c r="G68" s="2"/>
      <c r="H68" s="2">
        <v>234.23</v>
      </c>
      <c r="I68" s="2"/>
      <c r="J68" s="19">
        <f t="shared" si="16"/>
        <v>2.0588361453679131E-3</v>
      </c>
      <c r="K68" s="2"/>
      <c r="L68" s="2">
        <f t="shared" si="17"/>
        <v>-234.23</v>
      </c>
      <c r="M68" s="2"/>
      <c r="N68" s="19">
        <f t="shared" si="18"/>
        <v>-1</v>
      </c>
      <c r="O68" s="11"/>
      <c r="P68" s="2">
        <v>0</v>
      </c>
      <c r="Q68" s="2"/>
      <c r="R68" s="19">
        <f t="shared" si="19"/>
        <v>0</v>
      </c>
      <c r="S68" s="2"/>
      <c r="T68" s="2">
        <v>2165.7600000000002</v>
      </c>
      <c r="U68" s="2"/>
      <c r="V68" s="19">
        <f t="shared" si="20"/>
        <v>3.6119639099802849E-3</v>
      </c>
      <c r="W68" s="2"/>
      <c r="X68" s="2">
        <f t="shared" si="21"/>
        <v>-2165.7600000000002</v>
      </c>
      <c r="Y68" s="2"/>
      <c r="Z68" s="19">
        <f t="shared" si="22"/>
        <v>-1</v>
      </c>
    </row>
    <row r="69" spans="1:26" s="24" customFormat="1" hidden="1" outlineLevel="1" x14ac:dyDescent="0.25">
      <c r="A69" s="44"/>
      <c r="B69" s="11" t="str">
        <f>CONCATENATE("          ", "5541", " - ", "FREIGHT-IN-LOGO GIFTS")</f>
        <v xml:space="preserve">          5541 - FREIGHT-IN-LOGO GIFTS</v>
      </c>
      <c r="C69" s="11"/>
      <c r="D69" s="2">
        <v>0</v>
      </c>
      <c r="E69" s="2"/>
      <c r="F69" s="19">
        <f t="shared" si="15"/>
        <v>0</v>
      </c>
      <c r="G69" s="2"/>
      <c r="H69" s="2">
        <v>154.41</v>
      </c>
      <c r="I69" s="2"/>
      <c r="J69" s="19">
        <f t="shared" si="16"/>
        <v>1.3572338693005144E-3</v>
      </c>
      <c r="K69" s="2"/>
      <c r="L69" s="2">
        <f t="shared" si="17"/>
        <v>-154.41</v>
      </c>
      <c r="M69" s="2"/>
      <c r="N69" s="19">
        <f t="shared" si="18"/>
        <v>-1</v>
      </c>
      <c r="O69" s="11"/>
      <c r="P69" s="2">
        <v>0</v>
      </c>
      <c r="Q69" s="2"/>
      <c r="R69" s="19">
        <f t="shared" si="19"/>
        <v>0</v>
      </c>
      <c r="S69" s="2"/>
      <c r="T69" s="2">
        <v>361.11</v>
      </c>
      <c r="U69" s="2"/>
      <c r="V69" s="19">
        <f t="shared" si="20"/>
        <v>6.0224414872053257E-4</v>
      </c>
      <c r="W69" s="2"/>
      <c r="X69" s="2">
        <f t="shared" si="21"/>
        <v>-361.11</v>
      </c>
      <c r="Y69" s="2"/>
      <c r="Z69" s="19">
        <f t="shared" si="22"/>
        <v>-1</v>
      </c>
    </row>
    <row r="70" spans="1:26" s="24" customFormat="1" hidden="1" outlineLevel="1" x14ac:dyDescent="0.25">
      <c r="A70" s="44"/>
      <c r="B70" s="11" t="str">
        <f>CONCATENATE("          ", "5542", " - ", "FREIGHT-IN-EVERYDAY GIFTS")</f>
        <v xml:space="preserve">          5542 - FREIGHT-IN-EVERYDAY GIFTS</v>
      </c>
      <c r="C70" s="11"/>
      <c r="D70" s="2"/>
      <c r="E70" s="2"/>
      <c r="F70" s="19">
        <f t="shared" si="15"/>
        <v>0</v>
      </c>
      <c r="G70" s="2"/>
      <c r="H70" s="2">
        <v>65.44</v>
      </c>
      <c r="I70" s="2"/>
      <c r="J70" s="19">
        <f t="shared" si="16"/>
        <v>5.7520487278690281E-4</v>
      </c>
      <c r="K70" s="2"/>
      <c r="L70" s="2">
        <f t="shared" si="17"/>
        <v>-65.44</v>
      </c>
      <c r="M70" s="2"/>
      <c r="N70" s="19">
        <f t="shared" si="18"/>
        <v>-1</v>
      </c>
      <c r="O70" s="11"/>
      <c r="P70" s="2">
        <v>0</v>
      </c>
      <c r="Q70" s="2"/>
      <c r="R70" s="19">
        <f t="shared" si="19"/>
        <v>0</v>
      </c>
      <c r="S70" s="2"/>
      <c r="T70" s="2">
        <v>71.38</v>
      </c>
      <c r="U70" s="2"/>
      <c r="V70" s="19">
        <f t="shared" si="20"/>
        <v>1.1904457737440562E-4</v>
      </c>
      <c r="W70" s="2"/>
      <c r="X70" s="2">
        <f t="shared" si="21"/>
        <v>-71.38</v>
      </c>
      <c r="Y70" s="2"/>
      <c r="Z70" s="19">
        <f t="shared" si="22"/>
        <v>-1</v>
      </c>
    </row>
    <row r="71" spans="1:26" s="24" customFormat="1" hidden="1" outlineLevel="1" x14ac:dyDescent="0.25">
      <c r="A71" s="44"/>
      <c r="B71" s="11" t="str">
        <f>CONCATENATE("          ", "5543", " - ", "FREIGHT-IN-CARDS")</f>
        <v xml:space="preserve">          5543 - FREIGHT-IN-CARDS</v>
      </c>
      <c r="C71" s="11"/>
      <c r="D71" s="2"/>
      <c r="E71" s="2"/>
      <c r="F71" s="19">
        <f t="shared" si="15"/>
        <v>0</v>
      </c>
      <c r="G71" s="2"/>
      <c r="H71" s="2">
        <v>81.77</v>
      </c>
      <c r="I71" s="2"/>
      <c r="J71" s="19">
        <f t="shared" si="16"/>
        <v>7.1874239681823102E-4</v>
      </c>
      <c r="K71" s="2"/>
      <c r="L71" s="2">
        <f t="shared" si="17"/>
        <v>-81.77</v>
      </c>
      <c r="M71" s="2"/>
      <c r="N71" s="19">
        <f t="shared" si="18"/>
        <v>-1</v>
      </c>
      <c r="O71" s="11"/>
      <c r="P71" s="2"/>
      <c r="Q71" s="2"/>
      <c r="R71" s="19">
        <f t="shared" si="19"/>
        <v>0</v>
      </c>
      <c r="S71" s="2"/>
      <c r="T71" s="2">
        <v>81.77</v>
      </c>
      <c r="U71" s="2"/>
      <c r="V71" s="19">
        <f t="shared" si="20"/>
        <v>1.3637258464423014E-4</v>
      </c>
      <c r="W71" s="2"/>
      <c r="X71" s="2">
        <f t="shared" si="21"/>
        <v>-81.77</v>
      </c>
      <c r="Y71" s="2"/>
      <c r="Z71" s="19">
        <f t="shared" si="22"/>
        <v>-1</v>
      </c>
    </row>
    <row r="72" spans="1:26" s="24" customFormat="1" hidden="1" outlineLevel="1" x14ac:dyDescent="0.25">
      <c r="A72" s="44"/>
      <c r="B72" s="11" t="str">
        <f>CONCATENATE("          ", "5544", " - ", "FREIGHT-IN-ACCESSORIES")</f>
        <v xml:space="preserve">          5544 - FREIGHT-IN-ACCESSORIES</v>
      </c>
      <c r="C72" s="11"/>
      <c r="D72" s="2"/>
      <c r="E72" s="2"/>
      <c r="F72" s="19">
        <f t="shared" si="15"/>
        <v>0</v>
      </c>
      <c r="G72" s="2"/>
      <c r="H72" s="2"/>
      <c r="I72" s="2"/>
      <c r="J72" s="19">
        <f t="shared" si="16"/>
        <v>0</v>
      </c>
      <c r="K72" s="2"/>
      <c r="L72" s="2">
        <f t="shared" si="17"/>
        <v>0</v>
      </c>
      <c r="M72" s="2"/>
      <c r="N72" s="19">
        <f t="shared" si="18"/>
        <v>0</v>
      </c>
      <c r="O72" s="11"/>
      <c r="P72" s="2">
        <v>0</v>
      </c>
      <c r="Q72" s="2"/>
      <c r="R72" s="19">
        <f t="shared" si="19"/>
        <v>0</v>
      </c>
      <c r="S72" s="2"/>
      <c r="T72" s="2"/>
      <c r="U72" s="2"/>
      <c r="V72" s="19">
        <f t="shared" si="20"/>
        <v>0</v>
      </c>
      <c r="W72" s="2"/>
      <c r="X72" s="2">
        <f t="shared" si="21"/>
        <v>0</v>
      </c>
      <c r="Y72" s="2"/>
      <c r="Z72" s="19">
        <f t="shared" si="22"/>
        <v>0</v>
      </c>
    </row>
    <row r="73" spans="1:26" s="24" customFormat="1" hidden="1" outlineLevel="1" x14ac:dyDescent="0.25">
      <c r="A73" s="44"/>
      <c r="B73" s="11" t="str">
        <f>CONCATENATE("          ", "5545", " - ", "FREIGHT-IN-SPECIAL ORDERS")</f>
        <v xml:space="preserve">          5545 - FREIGHT-IN-SPECIAL ORDERS</v>
      </c>
      <c r="C73" s="11"/>
      <c r="D73" s="2"/>
      <c r="E73" s="2"/>
      <c r="F73" s="19">
        <f t="shared" si="15"/>
        <v>0</v>
      </c>
      <c r="G73" s="2"/>
      <c r="H73" s="2">
        <v>214.61</v>
      </c>
      <c r="I73" s="2"/>
      <c r="J73" s="19">
        <f t="shared" si="16"/>
        <v>1.8863801611980016E-3</v>
      </c>
      <c r="K73" s="2"/>
      <c r="L73" s="2">
        <f t="shared" si="17"/>
        <v>-214.61</v>
      </c>
      <c r="M73" s="2"/>
      <c r="N73" s="19">
        <f t="shared" si="18"/>
        <v>-1</v>
      </c>
      <c r="O73" s="11"/>
      <c r="P73" s="2">
        <v>0</v>
      </c>
      <c r="Q73" s="2"/>
      <c r="R73" s="19">
        <f t="shared" si="19"/>
        <v>0</v>
      </c>
      <c r="S73" s="2"/>
      <c r="T73" s="2">
        <v>660.61</v>
      </c>
      <c r="U73" s="2"/>
      <c r="V73" s="19">
        <f t="shared" si="20"/>
        <v>1.1017377172780345E-3</v>
      </c>
      <c r="W73" s="2"/>
      <c r="X73" s="2">
        <f t="shared" si="21"/>
        <v>-660.61</v>
      </c>
      <c r="Y73" s="2"/>
      <c r="Z73" s="19">
        <f t="shared" si="22"/>
        <v>-1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5" t="s">
        <v>107</v>
      </c>
      <c r="C75" s="25"/>
      <c r="D75" s="21">
        <f>D12-D53</f>
        <v>162721.4</v>
      </c>
      <c r="E75" s="13"/>
      <c r="F75" s="22">
        <f>IF(D$12=0,0,D75/D$12)</f>
        <v>0.52849070433382028</v>
      </c>
      <c r="G75" s="13"/>
      <c r="H75" s="21">
        <f>H12-H53</f>
        <v>45083.559999999969</v>
      </c>
      <c r="I75" s="13"/>
      <c r="J75" s="22">
        <f>IF(H$12=0,0,H75/H$12)</f>
        <v>0.39627572424481483</v>
      </c>
      <c r="K75" s="16"/>
      <c r="L75" s="21">
        <f>+D75-H75</f>
        <v>117637.84000000003</v>
      </c>
      <c r="M75" s="16"/>
      <c r="N75" s="22">
        <f>IF(H75=0,0,L75/H75)</f>
        <v>2.6093289882165496</v>
      </c>
      <c r="O75" s="26"/>
      <c r="P75" s="21">
        <f>P12-P53</f>
        <v>486317.78000000009</v>
      </c>
      <c r="Q75" s="13"/>
      <c r="R75" s="22">
        <f>IF(P$12=0,0,P75/P$12)</f>
        <v>0.54372702381707871</v>
      </c>
      <c r="S75" s="13"/>
      <c r="T75" s="21">
        <f>T12-T53</f>
        <v>240326.78000000003</v>
      </c>
      <c r="U75" s="13"/>
      <c r="V75" s="22">
        <f>IF(T$12=0,0,T75/T$12)</f>
        <v>0.40080694812064671</v>
      </c>
      <c r="W75" s="16"/>
      <c r="X75" s="21">
        <f>+P75-T75</f>
        <v>245991.00000000006</v>
      </c>
      <c r="Y75" s="16"/>
      <c r="Z75" s="22">
        <f>IF(T75=0,0,X75/T75)</f>
        <v>1.0235688257463442</v>
      </c>
    </row>
    <row r="76" spans="1:26" x14ac:dyDescent="0.25">
      <c r="A76" s="9"/>
      <c r="B76" s="10"/>
      <c r="C76" s="9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6" t="s">
        <v>294</v>
      </c>
      <c r="C77" s="10"/>
      <c r="D77" s="20">
        <f>SUM(OSRRefD22x_0)</f>
        <v>85301.440000000002</v>
      </c>
      <c r="E77" s="20"/>
      <c r="F77" s="30">
        <f t="shared" ref="F77:F86" si="23">IF(D$12=0,0,D77/D$12)</f>
        <v>0.27704418783447732</v>
      </c>
      <c r="G77" s="20"/>
      <c r="H77" s="20">
        <f>SUM(OSRRefH22x_0)</f>
        <v>68755.759999999995</v>
      </c>
      <c r="I77" s="20"/>
      <c r="J77" s="30">
        <f t="shared" ref="J77:J86" si="24">IF(H$12=0,0,H77/H$12)</f>
        <v>0.60434975831550763</v>
      </c>
      <c r="K77" s="4"/>
      <c r="L77" s="20">
        <f t="shared" ref="L77:L86" si="25">+D77-H77</f>
        <v>16545.680000000008</v>
      </c>
      <c r="M77" s="4"/>
      <c r="N77" s="30">
        <f t="shared" ref="N77:N86" si="26">IF(H77=0,0,L77/H77)</f>
        <v>0.24064427474876299</v>
      </c>
      <c r="O77" s="10"/>
      <c r="P77" s="20">
        <f>SUM(OSRRefP22x_0)</f>
        <v>280313.5199999999</v>
      </c>
      <c r="Q77" s="20"/>
      <c r="R77" s="30">
        <f t="shared" ref="R77:R86" si="27">IF(P$12=0,0,P77/P$12)</f>
        <v>0.31340420242354511</v>
      </c>
      <c r="S77" s="20"/>
      <c r="T77" s="20">
        <f>SUM(OSRRefT22x_0)</f>
        <v>210001.81000000003</v>
      </c>
      <c r="U77" s="20"/>
      <c r="V77" s="30">
        <f t="shared" ref="V77:V86" si="28">IF(T$12=0,0,T77/T$12)</f>
        <v>0.35023223198809517</v>
      </c>
      <c r="W77" s="4"/>
      <c r="X77" s="20">
        <f t="shared" ref="X77:X86" si="29">+P77-T77</f>
        <v>70311.709999999875</v>
      </c>
      <c r="Y77" s="4"/>
      <c r="Z77" s="30">
        <f t="shared" ref="Z77:Z86" si="30">IF(T77=0,0,X77/T77)</f>
        <v>0.33481478088212607</v>
      </c>
    </row>
    <row r="78" spans="1:26" s="27" customFormat="1" outlineLevel="1" collapsed="1" x14ac:dyDescent="0.25">
      <c r="A78" s="29"/>
      <c r="B78" s="14" t="str">
        <f>CONCATENATE("     ","*Benefits                                         ")</f>
        <v xml:space="preserve">     *Benefits                                         </v>
      </c>
      <c r="C78" s="14"/>
      <c r="D78" s="1">
        <f>SUM(OSRRefD22_0x_0)</f>
        <v>13393.95</v>
      </c>
      <c r="E78" s="1"/>
      <c r="F78" s="5">
        <f t="shared" si="23"/>
        <v>4.350121169871924E-2</v>
      </c>
      <c r="G78" s="1"/>
      <c r="H78" s="1">
        <f>SUM(OSRRefH22_0x_0)</f>
        <v>19144.490000000005</v>
      </c>
      <c r="I78" s="1"/>
      <c r="J78" s="5">
        <f t="shared" si="24"/>
        <v>0.1682763437503077</v>
      </c>
      <c r="K78" s="1"/>
      <c r="L78" s="1">
        <f t="shared" si="25"/>
        <v>-5750.5400000000045</v>
      </c>
      <c r="M78" s="1"/>
      <c r="N78" s="5">
        <f t="shared" si="26"/>
        <v>-0.30037572168284465</v>
      </c>
      <c r="O78" s="14"/>
      <c r="P78" s="1">
        <f>SUM(OSRRefP22_0x_0)</f>
        <v>42206.54</v>
      </c>
      <c r="Q78" s="1"/>
      <c r="R78" s="5">
        <f t="shared" si="27"/>
        <v>4.7188972568135347E-2</v>
      </c>
      <c r="S78" s="1"/>
      <c r="T78" s="1">
        <f>SUM(OSRRefT22_0x_0)</f>
        <v>48209.210000000006</v>
      </c>
      <c r="U78" s="1"/>
      <c r="V78" s="5">
        <f t="shared" si="28"/>
        <v>8.0401303306303865E-2</v>
      </c>
      <c r="W78" s="1"/>
      <c r="X78" s="1">
        <f t="shared" si="29"/>
        <v>-6002.6700000000055</v>
      </c>
      <c r="Y78" s="1"/>
      <c r="Z78" s="5">
        <f t="shared" si="30"/>
        <v>-0.12451293020565997</v>
      </c>
    </row>
    <row r="79" spans="1:26" s="24" customFormat="1" hidden="1" outlineLevel="2" x14ac:dyDescent="0.25">
      <c r="A79" s="28"/>
      <c r="B79" s="11" t="str">
        <f>CONCATENATE("          ", "6111", " - ", "F.I.C.A.")</f>
        <v xml:space="preserve">          6111 - F.I.C.A.</v>
      </c>
      <c r="C79" s="11"/>
      <c r="D79" s="7">
        <v>2336.11</v>
      </c>
      <c r="E79" s="2"/>
      <c r="F79" s="6">
        <f t="shared" si="23"/>
        <v>7.5872775142131338E-3</v>
      </c>
      <c r="G79" s="2"/>
      <c r="H79" s="7">
        <v>5873.67</v>
      </c>
      <c r="I79" s="2"/>
      <c r="J79" s="6">
        <f t="shared" si="24"/>
        <v>5.1628416948995226E-2</v>
      </c>
      <c r="K79" s="2"/>
      <c r="L79" s="7">
        <f t="shared" si="25"/>
        <v>-3537.56</v>
      </c>
      <c r="M79" s="2"/>
      <c r="N79" s="6">
        <f t="shared" si="26"/>
        <v>-0.60227421697167183</v>
      </c>
      <c r="O79" s="11"/>
      <c r="P79" s="7">
        <v>9776.2000000000007</v>
      </c>
      <c r="Q79" s="2"/>
      <c r="R79" s="6">
        <f t="shared" si="27"/>
        <v>1.093026894932882E-2</v>
      </c>
      <c r="S79" s="2"/>
      <c r="T79" s="7">
        <v>10828.47</v>
      </c>
      <c r="U79" s="2"/>
      <c r="V79" s="6">
        <f t="shared" si="28"/>
        <v>1.8059269189709022E-2</v>
      </c>
      <c r="W79" s="2"/>
      <c r="X79" s="7">
        <f t="shared" si="29"/>
        <v>-1052.2699999999986</v>
      </c>
      <c r="Y79" s="2"/>
      <c r="Z79" s="6">
        <f t="shared" si="30"/>
        <v>-9.717624004129842E-2</v>
      </c>
    </row>
    <row r="80" spans="1:26" s="24" customFormat="1" hidden="1" outlineLevel="2" x14ac:dyDescent="0.25">
      <c r="A80" s="28"/>
      <c r="B80" s="11" t="str">
        <f>CONCATENATE("          ", "6112", " - ", "COMPENSATION INSURANCE")</f>
        <v xml:space="preserve">          6112 - COMPENSATION INSURANCE</v>
      </c>
      <c r="C80" s="11"/>
      <c r="D80" s="7">
        <v>879.41</v>
      </c>
      <c r="E80" s="2"/>
      <c r="F80" s="6">
        <f t="shared" si="23"/>
        <v>2.8561701798178046E-3</v>
      </c>
      <c r="G80" s="2"/>
      <c r="H80" s="7">
        <v>2711.85</v>
      </c>
      <c r="I80" s="2"/>
      <c r="J80" s="6">
        <f t="shared" si="24"/>
        <v>2.3836634081099671E-2</v>
      </c>
      <c r="K80" s="2"/>
      <c r="L80" s="7">
        <f t="shared" si="25"/>
        <v>-1832.44</v>
      </c>
      <c r="M80" s="2"/>
      <c r="N80" s="6">
        <f t="shared" si="26"/>
        <v>-0.67571583974039862</v>
      </c>
      <c r="O80" s="11"/>
      <c r="P80" s="7">
        <v>2542.64</v>
      </c>
      <c r="Q80" s="2"/>
      <c r="R80" s="6">
        <f t="shared" si="27"/>
        <v>2.8427956712548256E-3</v>
      </c>
      <c r="S80" s="2"/>
      <c r="T80" s="7">
        <v>4286.2299999999996</v>
      </c>
      <c r="U80" s="2"/>
      <c r="V80" s="6">
        <f t="shared" si="28"/>
        <v>7.1483950529489856E-3</v>
      </c>
      <c r="W80" s="2"/>
      <c r="X80" s="7">
        <f t="shared" si="29"/>
        <v>-1743.5899999999997</v>
      </c>
      <c r="Y80" s="2"/>
      <c r="Z80" s="6">
        <f t="shared" si="30"/>
        <v>-0.40678871642445691</v>
      </c>
    </row>
    <row r="81" spans="1:26" s="24" customFormat="1" hidden="1" outlineLevel="2" x14ac:dyDescent="0.25">
      <c r="A81" s="28"/>
      <c r="B81" s="11" t="str">
        <f>CONCATENATE("          ", "6113", " - ", "GROUP INSURANCE")</f>
        <v xml:space="preserve">          6113 - GROUP INSURANCE</v>
      </c>
      <c r="C81" s="11"/>
      <c r="D81" s="7">
        <v>4844.88</v>
      </c>
      <c r="E81" s="2"/>
      <c r="F81" s="6">
        <f t="shared" si="23"/>
        <v>1.5735324570786875E-2</v>
      </c>
      <c r="G81" s="2"/>
      <c r="H81" s="7">
        <v>5541.11</v>
      </c>
      <c r="I81" s="2"/>
      <c r="J81" s="6">
        <f t="shared" si="24"/>
        <v>4.8705279227509703E-2</v>
      </c>
      <c r="K81" s="2"/>
      <c r="L81" s="7">
        <f t="shared" si="25"/>
        <v>-696.22999999999956</v>
      </c>
      <c r="M81" s="2"/>
      <c r="N81" s="6">
        <f t="shared" si="26"/>
        <v>-0.12564811021618405</v>
      </c>
      <c r="O81" s="11"/>
      <c r="P81" s="7">
        <v>14467.14</v>
      </c>
      <c r="Q81" s="2"/>
      <c r="R81" s="6">
        <f t="shared" si="27"/>
        <v>1.6174968917124541E-2</v>
      </c>
      <c r="S81" s="2"/>
      <c r="T81" s="7">
        <v>16757.04</v>
      </c>
      <c r="U81" s="2"/>
      <c r="V81" s="6">
        <f t="shared" si="28"/>
        <v>2.7946690177164613E-2</v>
      </c>
      <c r="W81" s="2"/>
      <c r="X81" s="7">
        <f t="shared" si="29"/>
        <v>-2289.9000000000015</v>
      </c>
      <c r="Y81" s="2"/>
      <c r="Z81" s="6">
        <f t="shared" si="30"/>
        <v>-0.13665301270391436</v>
      </c>
    </row>
    <row r="82" spans="1:26" s="24" customFormat="1" hidden="1" outlineLevel="2" x14ac:dyDescent="0.25">
      <c r="A82" s="28"/>
      <c r="B82" s="11" t="str">
        <f>CONCATENATE("          ", "6114", " - ", "STATE UNEMPLOYMENT INSURANCE")</f>
        <v xml:space="preserve">          6114 - STATE UNEMPLOYMENT INSURANCE</v>
      </c>
      <c r="C82" s="11"/>
      <c r="D82" s="7">
        <v>154.49</v>
      </c>
      <c r="E82" s="2"/>
      <c r="F82" s="6">
        <f t="shared" si="23"/>
        <v>5.0175655391689056E-4</v>
      </c>
      <c r="G82" s="2"/>
      <c r="H82" s="7">
        <v>227.12</v>
      </c>
      <c r="I82" s="2"/>
      <c r="J82" s="6">
        <f t="shared" si="24"/>
        <v>1.996340628168725E-3</v>
      </c>
      <c r="K82" s="2"/>
      <c r="L82" s="7">
        <f t="shared" si="25"/>
        <v>-72.63</v>
      </c>
      <c r="M82" s="2"/>
      <c r="N82" s="6">
        <f t="shared" si="26"/>
        <v>-0.319786896794646</v>
      </c>
      <c r="O82" s="11"/>
      <c r="P82" s="7">
        <v>446.67</v>
      </c>
      <c r="Q82" s="2"/>
      <c r="R82" s="6">
        <f t="shared" si="27"/>
        <v>4.9939886986730055E-4</v>
      </c>
      <c r="S82" s="2"/>
      <c r="T82" s="7">
        <v>402.27</v>
      </c>
      <c r="U82" s="2"/>
      <c r="V82" s="6">
        <f t="shared" si="28"/>
        <v>6.7088907453631476E-4</v>
      </c>
      <c r="W82" s="2"/>
      <c r="X82" s="7">
        <f t="shared" si="29"/>
        <v>44.400000000000034</v>
      </c>
      <c r="Y82" s="2"/>
      <c r="Z82" s="6">
        <f t="shared" si="30"/>
        <v>0.11037362965172655</v>
      </c>
    </row>
    <row r="83" spans="1:26" s="24" customFormat="1" hidden="1" outlineLevel="2" x14ac:dyDescent="0.25">
      <c r="A83" s="28"/>
      <c r="B83" s="11" t="str">
        <f>CONCATENATE("          ", "6115", " - ", "P.E.R.S.")</f>
        <v xml:space="preserve">          6115 - P.E.R.S.</v>
      </c>
      <c r="C83" s="11"/>
      <c r="D83" s="7">
        <v>1579.48</v>
      </c>
      <c r="E83" s="2"/>
      <c r="F83" s="6">
        <f t="shared" si="23"/>
        <v>5.1298753432626716E-3</v>
      </c>
      <c r="G83" s="2"/>
      <c r="H83" s="7">
        <v>1664.19</v>
      </c>
      <c r="I83" s="2"/>
      <c r="J83" s="6">
        <f t="shared" si="24"/>
        <v>1.4627906437091012E-2</v>
      </c>
      <c r="K83" s="2"/>
      <c r="L83" s="7">
        <f t="shared" si="25"/>
        <v>-84.710000000000036</v>
      </c>
      <c r="M83" s="2"/>
      <c r="N83" s="6">
        <f t="shared" si="26"/>
        <v>-5.0901639836797498E-2</v>
      </c>
      <c r="O83" s="11"/>
      <c r="P83" s="7">
        <v>4738.4399999999996</v>
      </c>
      <c r="Q83" s="2"/>
      <c r="R83" s="6">
        <f t="shared" si="27"/>
        <v>5.2978072871113155E-3</v>
      </c>
      <c r="S83" s="2"/>
      <c r="T83" s="7">
        <v>6065.85</v>
      </c>
      <c r="U83" s="2"/>
      <c r="V83" s="6">
        <f t="shared" si="28"/>
        <v>1.0116370827494234E-2</v>
      </c>
      <c r="W83" s="2"/>
      <c r="X83" s="7">
        <f t="shared" si="29"/>
        <v>-1327.4100000000008</v>
      </c>
      <c r="Y83" s="2"/>
      <c r="Z83" s="6">
        <f t="shared" si="30"/>
        <v>-0.21883330448329594</v>
      </c>
    </row>
    <row r="84" spans="1:26" s="24" customFormat="1" hidden="1" outlineLevel="2" x14ac:dyDescent="0.25">
      <c r="A84" s="28"/>
      <c r="B84" s="11" t="str">
        <f>CONCATENATE("          ", "6118", " - ", "VACATION")</f>
        <v xml:space="preserve">          6118 - VACATION</v>
      </c>
      <c r="C84" s="11"/>
      <c r="D84" s="7">
        <v>1685.29</v>
      </c>
      <c r="E84" s="2"/>
      <c r="F84" s="6">
        <f t="shared" si="23"/>
        <v>5.4735277542274346E-3</v>
      </c>
      <c r="G84" s="2"/>
      <c r="H84" s="7">
        <v>1385.36</v>
      </c>
      <c r="I84" s="2"/>
      <c r="J84" s="6">
        <f t="shared" si="24"/>
        <v>1.2177044965832268E-2</v>
      </c>
      <c r="K84" s="2"/>
      <c r="L84" s="7">
        <f t="shared" si="25"/>
        <v>299.93000000000006</v>
      </c>
      <c r="M84" s="2"/>
      <c r="N84" s="6">
        <f t="shared" si="26"/>
        <v>0.21649968239302425</v>
      </c>
      <c r="O84" s="11"/>
      <c r="P84" s="7">
        <v>5003.41</v>
      </c>
      <c r="Q84" s="2"/>
      <c r="R84" s="6">
        <f t="shared" si="27"/>
        <v>5.5940566849861199E-3</v>
      </c>
      <c r="S84" s="2"/>
      <c r="T84" s="7">
        <v>4860.37</v>
      </c>
      <c r="U84" s="2"/>
      <c r="V84" s="6">
        <f t="shared" si="28"/>
        <v>8.1059217222364793E-3</v>
      </c>
      <c r="W84" s="2"/>
      <c r="X84" s="7">
        <f t="shared" si="29"/>
        <v>143.03999999999996</v>
      </c>
      <c r="Y84" s="2"/>
      <c r="Z84" s="6">
        <f t="shared" si="30"/>
        <v>2.9429858220670436E-2</v>
      </c>
    </row>
    <row r="85" spans="1:26" s="24" customFormat="1" hidden="1" outlineLevel="2" x14ac:dyDescent="0.25">
      <c r="A85" s="28"/>
      <c r="B85" s="11" t="str">
        <f>CONCATENATE("          ", "6119", " - ", "SICK LEAVE")</f>
        <v xml:space="preserve">          6119 - SICK LEAVE</v>
      </c>
      <c r="C85" s="11"/>
      <c r="D85" s="7">
        <v>1120.42</v>
      </c>
      <c r="E85" s="2"/>
      <c r="F85" s="6">
        <f t="shared" si="23"/>
        <v>3.6389285917506793E-3</v>
      </c>
      <c r="G85" s="2"/>
      <c r="H85" s="7">
        <v>1223.8800000000001</v>
      </c>
      <c r="I85" s="2"/>
      <c r="J85" s="6">
        <f t="shared" si="24"/>
        <v>1.0757667171553097E-2</v>
      </c>
      <c r="K85" s="2"/>
      <c r="L85" s="7">
        <f t="shared" si="25"/>
        <v>-103.46000000000004</v>
      </c>
      <c r="M85" s="2"/>
      <c r="N85" s="6">
        <f t="shared" si="26"/>
        <v>-8.4534431480210503E-2</v>
      </c>
      <c r="O85" s="11"/>
      <c r="P85" s="7">
        <v>3361.26</v>
      </c>
      <c r="Q85" s="2"/>
      <c r="R85" s="6">
        <f t="shared" si="27"/>
        <v>3.7580528025839273E-3</v>
      </c>
      <c r="S85" s="2"/>
      <c r="T85" s="7">
        <v>3544.23</v>
      </c>
      <c r="U85" s="2"/>
      <c r="V85" s="6">
        <f t="shared" si="28"/>
        <v>5.9109184991270611E-3</v>
      </c>
      <c r="W85" s="2"/>
      <c r="X85" s="7">
        <f t="shared" si="29"/>
        <v>-182.9699999999998</v>
      </c>
      <c r="Y85" s="2"/>
      <c r="Z85" s="6">
        <f t="shared" si="30"/>
        <v>-5.1624753472545463E-2</v>
      </c>
    </row>
    <row r="86" spans="1:26" s="24" customFormat="1" hidden="1" outlineLevel="2" x14ac:dyDescent="0.25">
      <c r="A86" s="28"/>
      <c r="B86" s="11" t="str">
        <f>CONCATENATE("          ", "6156", " - ", "EMPLOYEE MEALS")</f>
        <v xml:space="preserve">          6156 - EMPLOYEE MEALS</v>
      </c>
      <c r="C86" s="11"/>
      <c r="D86" s="7">
        <v>793.87</v>
      </c>
      <c r="E86" s="2"/>
      <c r="F86" s="6">
        <f t="shared" si="23"/>
        <v>2.5783511907437493E-3</v>
      </c>
      <c r="G86" s="2"/>
      <c r="H86" s="7">
        <v>517.30999999999995</v>
      </c>
      <c r="I86" s="2"/>
      <c r="J86" s="6">
        <f t="shared" si="24"/>
        <v>4.5470542900579568E-3</v>
      </c>
      <c r="K86" s="2"/>
      <c r="L86" s="7">
        <f t="shared" si="25"/>
        <v>276.56000000000006</v>
      </c>
      <c r="M86" s="2"/>
      <c r="N86" s="6">
        <f t="shared" si="26"/>
        <v>0.53461174150895996</v>
      </c>
      <c r="O86" s="11"/>
      <c r="P86" s="7">
        <v>1870.78</v>
      </c>
      <c r="Q86" s="2"/>
      <c r="R86" s="6">
        <f t="shared" si="27"/>
        <v>2.0916233858784975E-3</v>
      </c>
      <c r="S86" s="2"/>
      <c r="T86" s="7">
        <v>1464.75</v>
      </c>
      <c r="U86" s="2"/>
      <c r="V86" s="6">
        <f t="shared" si="28"/>
        <v>2.4428487630871482E-3</v>
      </c>
      <c r="W86" s="2"/>
      <c r="X86" s="7">
        <f t="shared" si="29"/>
        <v>406.03</v>
      </c>
      <c r="Y86" s="2"/>
      <c r="Z86" s="6">
        <f t="shared" si="30"/>
        <v>0.27720088752346816</v>
      </c>
    </row>
    <row r="87" spans="1:26" s="27" customFormat="1" outlineLevel="1" collapsed="1" x14ac:dyDescent="0.25">
      <c r="A87" s="29"/>
      <c r="B87" s="14" t="str">
        <f>CONCATENATE("     ","*Payroll                                          ")</f>
        <v xml:space="preserve">     *Payroll                                          </v>
      </c>
      <c r="C87" s="14"/>
      <c r="D87" s="1">
        <f>SUM(OSRRefD22_1x_0)</f>
        <v>59644.810000000005</v>
      </c>
      <c r="E87" s="1"/>
      <c r="F87" s="5">
        <f t="shared" ref="F87:F92" si="31">IF(D$12=0,0,D87/D$12)</f>
        <v>0.19371593193493231</v>
      </c>
      <c r="G87" s="1"/>
      <c r="H87" s="1">
        <f>SUM(OSRRefH22_1x_0)</f>
        <v>38040.07</v>
      </c>
      <c r="I87" s="1"/>
      <c r="J87" s="5">
        <f t="shared" ref="J87:J92" si="32">IF(H$12=0,0,H87/H$12)</f>
        <v>0.33436481701031295</v>
      </c>
      <c r="K87" s="1"/>
      <c r="L87" s="1">
        <f t="shared" ref="L87:L92" si="33">+D87-H87</f>
        <v>21604.740000000005</v>
      </c>
      <c r="M87" s="1"/>
      <c r="N87" s="5">
        <f t="shared" ref="N87:N92" si="34">IF(H87=0,0,L87/H87)</f>
        <v>0.56794690440895623</v>
      </c>
      <c r="O87" s="14"/>
      <c r="P87" s="1">
        <f>SUM(OSRRefP22_1x_0)</f>
        <v>185468.77</v>
      </c>
      <c r="Q87" s="1"/>
      <c r="R87" s="5">
        <f t="shared" ref="R87:R92" si="35">IF(P$12=0,0,P87/P$12)</f>
        <v>0.20736314087285532</v>
      </c>
      <c r="S87" s="1"/>
      <c r="T87" s="1">
        <f>SUM(OSRRefT22_1x_0)</f>
        <v>111648.26</v>
      </c>
      <c r="U87" s="1"/>
      <c r="V87" s="5">
        <f t="shared" ref="V87:V92" si="36">IF(T$12=0,0,T87/T$12)</f>
        <v>0.18620229652966874</v>
      </c>
      <c r="W87" s="1"/>
      <c r="X87" s="1">
        <f t="shared" ref="X87:X92" si="37">+P87-T87</f>
        <v>73820.509999999995</v>
      </c>
      <c r="Y87" s="1"/>
      <c r="Z87" s="5">
        <f t="shared" ref="Z87:Z92" si="38">IF(T87=0,0,X87/T87)</f>
        <v>0.66118818152651904</v>
      </c>
    </row>
    <row r="88" spans="1:26" s="24" customFormat="1" hidden="1" outlineLevel="2" x14ac:dyDescent="0.25">
      <c r="A88" s="28"/>
      <c r="B88" s="11" t="str">
        <f>CONCATENATE("          ", "6002", " - ", "STAFF SALARIES")</f>
        <v xml:space="preserve">          6002 - STAFF SALARIES</v>
      </c>
      <c r="C88" s="11"/>
      <c r="D88" s="7">
        <v>17490.93</v>
      </c>
      <c r="E88" s="2"/>
      <c r="F88" s="6">
        <f t="shared" si="31"/>
        <v>5.6807487614742427E-2</v>
      </c>
      <c r="G88" s="2"/>
      <c r="H88" s="7">
        <v>15514.48</v>
      </c>
      <c r="I88" s="2"/>
      <c r="J88" s="6">
        <f t="shared" si="32"/>
        <v>0.13636926183916484</v>
      </c>
      <c r="K88" s="2"/>
      <c r="L88" s="7">
        <f t="shared" si="33"/>
        <v>1976.4500000000007</v>
      </c>
      <c r="M88" s="2"/>
      <c r="N88" s="6">
        <f t="shared" si="34"/>
        <v>0.12739389267316731</v>
      </c>
      <c r="O88" s="11"/>
      <c r="P88" s="7">
        <v>51744.39</v>
      </c>
      <c r="Q88" s="2"/>
      <c r="R88" s="6">
        <f t="shared" si="35"/>
        <v>5.7852754579382645E-2</v>
      </c>
      <c r="S88" s="2"/>
      <c r="T88" s="7">
        <v>55687.82</v>
      </c>
      <c r="U88" s="2"/>
      <c r="V88" s="6">
        <f t="shared" si="36"/>
        <v>9.2873816150209759E-2</v>
      </c>
      <c r="W88" s="2"/>
      <c r="X88" s="7">
        <f t="shared" si="37"/>
        <v>-3943.4300000000003</v>
      </c>
      <c r="Y88" s="2"/>
      <c r="Z88" s="6">
        <f t="shared" si="38"/>
        <v>-7.0813150882904019E-2</v>
      </c>
    </row>
    <row r="89" spans="1:26" s="24" customFormat="1" hidden="1" outlineLevel="2" x14ac:dyDescent="0.25">
      <c r="A89" s="28"/>
      <c r="B89" s="11" t="str">
        <f>CONCATENATE("          ", "6004", " - ", "STAFF HOURLY")</f>
        <v xml:space="preserve">          6004 - STAFF HOURLY</v>
      </c>
      <c r="C89" s="11"/>
      <c r="D89" s="7">
        <v>8783.39</v>
      </c>
      <c r="E89" s="2"/>
      <c r="F89" s="6">
        <f t="shared" si="31"/>
        <v>2.8526917587598396E-2</v>
      </c>
      <c r="G89" s="2"/>
      <c r="H89" s="7">
        <v>9483.5400000000009</v>
      </c>
      <c r="I89" s="2"/>
      <c r="J89" s="6">
        <f t="shared" si="32"/>
        <v>8.3358472177101239E-2</v>
      </c>
      <c r="K89" s="2"/>
      <c r="L89" s="7">
        <f t="shared" si="33"/>
        <v>-700.15000000000146</v>
      </c>
      <c r="M89" s="2"/>
      <c r="N89" s="6">
        <f t="shared" si="34"/>
        <v>-7.3827916579673983E-2</v>
      </c>
      <c r="O89" s="11"/>
      <c r="P89" s="7">
        <v>25228.47</v>
      </c>
      <c r="Q89" s="2"/>
      <c r="R89" s="6">
        <f t="shared" si="35"/>
        <v>2.8206661308082245E-2</v>
      </c>
      <c r="S89" s="2"/>
      <c r="T89" s="7">
        <v>23434.49</v>
      </c>
      <c r="U89" s="2"/>
      <c r="V89" s="6">
        <f t="shared" si="36"/>
        <v>3.9083061894574604E-2</v>
      </c>
      <c r="W89" s="2"/>
      <c r="X89" s="7">
        <f t="shared" si="37"/>
        <v>1793.9799999999996</v>
      </c>
      <c r="Y89" s="2"/>
      <c r="Z89" s="6">
        <f t="shared" si="38"/>
        <v>7.6552978110468781E-2</v>
      </c>
    </row>
    <row r="90" spans="1:26" s="24" customFormat="1" hidden="1" outlineLevel="2" x14ac:dyDescent="0.25">
      <c r="A90" s="28"/>
      <c r="B90" s="11" t="str">
        <f>CONCATENATE("          ", "6005", " - ", "TEMPORARY WAGES-HOURLY")</f>
        <v xml:space="preserve">          6005 - TEMPORARY WAGES-HOURLY</v>
      </c>
      <c r="C90" s="11"/>
      <c r="D90" s="7">
        <v>3686.9</v>
      </c>
      <c r="E90" s="2"/>
      <c r="F90" s="6">
        <f t="shared" si="31"/>
        <v>1.1974407655098605E-2</v>
      </c>
      <c r="G90" s="2"/>
      <c r="H90" s="7">
        <v>6615.24</v>
      </c>
      <c r="I90" s="2"/>
      <c r="J90" s="6">
        <f t="shared" si="32"/>
        <v>5.8146673023454019E-2</v>
      </c>
      <c r="K90" s="2"/>
      <c r="L90" s="7">
        <f t="shared" si="33"/>
        <v>-2928.3399999999997</v>
      </c>
      <c r="M90" s="2"/>
      <c r="N90" s="6">
        <f t="shared" si="34"/>
        <v>-0.44266572339023225</v>
      </c>
      <c r="O90" s="11"/>
      <c r="P90" s="7">
        <v>10296.93</v>
      </c>
      <c r="Q90" s="2"/>
      <c r="R90" s="6">
        <f t="shared" si="35"/>
        <v>1.151247051537534E-2</v>
      </c>
      <c r="S90" s="2"/>
      <c r="T90" s="7">
        <v>13038.95</v>
      </c>
      <c r="U90" s="2"/>
      <c r="V90" s="6">
        <f t="shared" si="36"/>
        <v>2.1745815244550382E-2</v>
      </c>
      <c r="W90" s="2"/>
      <c r="X90" s="7">
        <f t="shared" si="37"/>
        <v>-2742.0200000000004</v>
      </c>
      <c r="Y90" s="2"/>
      <c r="Z90" s="6">
        <f t="shared" si="38"/>
        <v>-0.21029454058800748</v>
      </c>
    </row>
    <row r="91" spans="1:26" s="24" customFormat="1" hidden="1" outlineLevel="2" x14ac:dyDescent="0.25">
      <c r="A91" s="28"/>
      <c r="B91" s="11" t="str">
        <f>CONCATENATE("          ", "6007", " - ", "STUDENT HOURLY")</f>
        <v xml:space="preserve">          6007 - STUDENT HOURLY</v>
      </c>
      <c r="C91" s="11"/>
      <c r="D91" s="7">
        <v>24317.52</v>
      </c>
      <c r="E91" s="2"/>
      <c r="F91" s="6">
        <f t="shared" si="31"/>
        <v>7.897906035992662E-2</v>
      </c>
      <c r="G91" s="2"/>
      <c r="H91" s="7">
        <v>5371.14</v>
      </c>
      <c r="I91" s="2"/>
      <c r="J91" s="6">
        <f t="shared" si="32"/>
        <v>4.7211275984423068E-2</v>
      </c>
      <c r="K91" s="2"/>
      <c r="L91" s="7">
        <f t="shared" si="33"/>
        <v>18946.38</v>
      </c>
      <c r="M91" s="2"/>
      <c r="N91" s="6">
        <f t="shared" si="34"/>
        <v>3.5274411018889844</v>
      </c>
      <c r="O91" s="11"/>
      <c r="P91" s="7">
        <v>75696.179999999993</v>
      </c>
      <c r="Q91" s="2"/>
      <c r="R91" s="6">
        <f t="shared" si="35"/>
        <v>8.4632025310121012E-2</v>
      </c>
      <c r="S91" s="2"/>
      <c r="T91" s="7">
        <v>17998.3</v>
      </c>
      <c r="U91" s="2"/>
      <c r="V91" s="6">
        <f t="shared" si="36"/>
        <v>3.0016811669343859E-2</v>
      </c>
      <c r="W91" s="2"/>
      <c r="X91" s="7">
        <f t="shared" si="37"/>
        <v>57697.87999999999</v>
      </c>
      <c r="Y91" s="2"/>
      <c r="Z91" s="6">
        <f t="shared" si="38"/>
        <v>3.2057405421623151</v>
      </c>
    </row>
    <row r="92" spans="1:26" s="24" customFormat="1" hidden="1" outlineLevel="2" x14ac:dyDescent="0.25">
      <c r="A92" s="28"/>
      <c r="B92" s="11" t="str">
        <f>CONCATENATE("          ", "6008", " - ", "STUDENT HOURLY-FICA EXEMPT")</f>
        <v xml:space="preserve">          6008 - STUDENT HOURLY-FICA EXEMPT</v>
      </c>
      <c r="C92" s="11"/>
      <c r="D92" s="7">
        <v>5366.07</v>
      </c>
      <c r="E92" s="2"/>
      <c r="F92" s="6">
        <f t="shared" si="31"/>
        <v>1.7428058717566239E-2</v>
      </c>
      <c r="G92" s="2"/>
      <c r="H92" s="7">
        <v>1055.67</v>
      </c>
      <c r="I92" s="2"/>
      <c r="J92" s="6">
        <f t="shared" si="32"/>
        <v>9.2791339861697693E-3</v>
      </c>
      <c r="K92" s="2"/>
      <c r="L92" s="7">
        <f t="shared" si="33"/>
        <v>4310.3999999999996</v>
      </c>
      <c r="M92" s="2"/>
      <c r="N92" s="6">
        <f t="shared" si="34"/>
        <v>4.0830941487396624</v>
      </c>
      <c r="O92" s="11"/>
      <c r="P92" s="7">
        <v>22502.799999999999</v>
      </c>
      <c r="Q92" s="2"/>
      <c r="R92" s="6">
        <f t="shared" si="35"/>
        <v>2.5159229159894082E-2</v>
      </c>
      <c r="S92" s="2"/>
      <c r="T92" s="7">
        <v>1488.7</v>
      </c>
      <c r="U92" s="2"/>
      <c r="V92" s="6">
        <f t="shared" si="36"/>
        <v>2.4827915709901604E-3</v>
      </c>
      <c r="W92" s="2"/>
      <c r="X92" s="7">
        <f t="shared" si="37"/>
        <v>21014.1</v>
      </c>
      <c r="Y92" s="2"/>
      <c r="Z92" s="6">
        <f t="shared" si="38"/>
        <v>14.115738563847652</v>
      </c>
    </row>
    <row r="93" spans="1:26" s="27" customFormat="1" outlineLevel="1" collapsed="1" x14ac:dyDescent="0.25">
      <c r="A93" s="29"/>
      <c r="B93" s="14" t="str">
        <f>CONCATENATE("     ","Advertising/Promo                                 ")</f>
        <v xml:space="preserve">     Advertising/Promo                                 </v>
      </c>
      <c r="C93" s="14"/>
      <c r="D93" s="1">
        <f>SUM(OSRRefD22_2x_0)</f>
        <v>110.26</v>
      </c>
      <c r="E93" s="1"/>
      <c r="F93" s="5">
        <f t="shared" ref="F93:F101" si="39">IF(D$12=0,0,D93/D$12)</f>
        <v>3.5810523422147934E-4</v>
      </c>
      <c r="G93" s="1"/>
      <c r="H93" s="1">
        <f>SUM(OSRRefH22_2x_0)</f>
        <v>391.39</v>
      </c>
      <c r="I93" s="1"/>
      <c r="J93" s="5">
        <f t="shared" ref="J93:J101" si="40">IF(H$12=0,0,H93/H$12)</f>
        <v>3.4402419798298576E-3</v>
      </c>
      <c r="K93" s="1"/>
      <c r="L93" s="1">
        <f t="shared" ref="L93:L101" si="41">+D93-H93</f>
        <v>-281.13</v>
      </c>
      <c r="M93" s="1"/>
      <c r="N93" s="5">
        <f t="shared" ref="N93:N101" si="42">IF(H93=0,0,L93/H93)</f>
        <v>-0.71828610848514274</v>
      </c>
      <c r="O93" s="14"/>
      <c r="P93" s="1">
        <f>SUM(OSRRefP22_2x_0)</f>
        <v>1767.01</v>
      </c>
      <c r="Q93" s="1"/>
      <c r="R93" s="5">
        <f t="shared" ref="R93:R101" si="43">IF(P$12=0,0,P93/P$12)</f>
        <v>1.9756034590284076E-3</v>
      </c>
      <c r="S93" s="1"/>
      <c r="T93" s="1">
        <f>SUM(OSRRefT22_2x_0)</f>
        <v>11033.71</v>
      </c>
      <c r="U93" s="1"/>
      <c r="V93" s="5">
        <f t="shared" ref="V93:V101" si="44">IF(T$12=0,0,T93/T$12)</f>
        <v>1.8401559874219011E-2</v>
      </c>
      <c r="W93" s="1"/>
      <c r="X93" s="1">
        <f t="shared" ref="X93:X101" si="45">+P93-T93</f>
        <v>-9266.6999999999989</v>
      </c>
      <c r="Y93" s="1"/>
      <c r="Z93" s="5">
        <f t="shared" ref="Z93:Z101" si="46">IF(T93=0,0,X93/T93)</f>
        <v>-0.83985350349066634</v>
      </c>
    </row>
    <row r="94" spans="1:26" s="24" customFormat="1" hidden="1" outlineLevel="2" x14ac:dyDescent="0.25">
      <c r="A94" s="28"/>
      <c r="B94" s="11" t="str">
        <f>CONCATENATE("          ", "6362", " - ", "ADVERTISING EXPENSE")</f>
        <v xml:space="preserve">          6362 - ADVERTISING EXPENSE</v>
      </c>
      <c r="C94" s="11"/>
      <c r="D94" s="7">
        <v>110.26</v>
      </c>
      <c r="E94" s="2"/>
      <c r="F94" s="6">
        <f t="shared" si="39"/>
        <v>3.5810523422147934E-4</v>
      </c>
      <c r="G94" s="2"/>
      <c r="H94" s="7">
        <v>391.39</v>
      </c>
      <c r="I94" s="2"/>
      <c r="J94" s="6">
        <f t="shared" si="40"/>
        <v>3.4402419798298576E-3</v>
      </c>
      <c r="K94" s="2"/>
      <c r="L94" s="7">
        <f t="shared" si="41"/>
        <v>-281.13</v>
      </c>
      <c r="M94" s="2"/>
      <c r="N94" s="6">
        <f t="shared" si="42"/>
        <v>-0.71828610848514274</v>
      </c>
      <c r="O94" s="11"/>
      <c r="P94" s="7">
        <v>1767.01</v>
      </c>
      <c r="Q94" s="2"/>
      <c r="R94" s="6">
        <f t="shared" si="43"/>
        <v>1.9756034590284076E-3</v>
      </c>
      <c r="S94" s="2"/>
      <c r="T94" s="7">
        <v>11033.71</v>
      </c>
      <c r="U94" s="2"/>
      <c r="V94" s="6">
        <f t="shared" si="44"/>
        <v>1.8401559874219011E-2</v>
      </c>
      <c r="W94" s="2"/>
      <c r="X94" s="7">
        <f t="shared" si="45"/>
        <v>-9266.6999999999989</v>
      </c>
      <c r="Y94" s="2"/>
      <c r="Z94" s="6">
        <f t="shared" si="46"/>
        <v>-0.83985350349066634</v>
      </c>
    </row>
    <row r="95" spans="1:26" s="27" customFormat="1" outlineLevel="1" collapsed="1" x14ac:dyDescent="0.25">
      <c r="A95" s="29"/>
      <c r="B95" s="14" t="str">
        <f>CONCATENATE("     ","Bad Debts/Over/Short                              ")</f>
        <v xml:space="preserve">     Bad Debts/Over/Short                              </v>
      </c>
      <c r="C95" s="14"/>
      <c r="D95" s="1">
        <f>SUM(OSRRefD22_3x_0)</f>
        <v>1.03</v>
      </c>
      <c r="E95" s="1"/>
      <c r="F95" s="5">
        <f t="shared" si="39"/>
        <v>3.3452602144759998E-6</v>
      </c>
      <c r="G95" s="1"/>
      <c r="H95" s="1">
        <f>SUM(OSRRefH22_3x_0)</f>
        <v>-2.96</v>
      </c>
      <c r="I95" s="1"/>
      <c r="J95" s="5">
        <f t="shared" si="40"/>
        <v>-2.6017824319211985E-5</v>
      </c>
      <c r="K95" s="1"/>
      <c r="L95" s="1">
        <f t="shared" si="41"/>
        <v>3.99</v>
      </c>
      <c r="M95" s="1"/>
      <c r="N95" s="5">
        <f t="shared" si="42"/>
        <v>-1.347972972972973</v>
      </c>
      <c r="O95" s="14"/>
      <c r="P95" s="1">
        <f>SUM(OSRRefP22_3x_0)</f>
        <v>1.7</v>
      </c>
      <c r="Q95" s="1"/>
      <c r="R95" s="5">
        <f t="shared" si="43"/>
        <v>1.9006830070844491E-6</v>
      </c>
      <c r="S95" s="1"/>
      <c r="T95" s="1">
        <f>SUM(OSRRefT22_3x_0)</f>
        <v>0.7</v>
      </c>
      <c r="U95" s="1"/>
      <c r="V95" s="5">
        <f t="shared" si="44"/>
        <v>1.167430711152759E-6</v>
      </c>
      <c r="W95" s="1"/>
      <c r="X95" s="1">
        <f t="shared" si="45"/>
        <v>1</v>
      </c>
      <c r="Y95" s="1"/>
      <c r="Z95" s="5">
        <f t="shared" si="46"/>
        <v>1.4285714285714286</v>
      </c>
    </row>
    <row r="96" spans="1:26" s="24" customFormat="1" hidden="1" outlineLevel="2" x14ac:dyDescent="0.25">
      <c r="A96" s="28"/>
      <c r="B96" s="11" t="str">
        <f>CONCATENATE("          ", "6272", " - ", "CASH (OVER/SHORT)")</f>
        <v xml:space="preserve">          6272 - CASH (OVER/SHORT)</v>
      </c>
      <c r="C96" s="11"/>
      <c r="D96" s="7">
        <v>1.03</v>
      </c>
      <c r="E96" s="2"/>
      <c r="F96" s="6">
        <f t="shared" si="39"/>
        <v>3.3452602144759998E-6</v>
      </c>
      <c r="G96" s="2"/>
      <c r="H96" s="7">
        <v>-2.96</v>
      </c>
      <c r="I96" s="2"/>
      <c r="J96" s="6">
        <f t="shared" si="40"/>
        <v>-2.6017824319211985E-5</v>
      </c>
      <c r="K96" s="2"/>
      <c r="L96" s="7">
        <f t="shared" si="41"/>
        <v>3.99</v>
      </c>
      <c r="M96" s="2"/>
      <c r="N96" s="6">
        <f t="shared" si="42"/>
        <v>-1.347972972972973</v>
      </c>
      <c r="O96" s="11"/>
      <c r="P96" s="7">
        <v>1.7</v>
      </c>
      <c r="Q96" s="2"/>
      <c r="R96" s="6">
        <f t="shared" si="43"/>
        <v>1.9006830070844491E-6</v>
      </c>
      <c r="S96" s="2"/>
      <c r="T96" s="7">
        <v>0.7</v>
      </c>
      <c r="U96" s="2"/>
      <c r="V96" s="6">
        <f t="shared" si="44"/>
        <v>1.167430711152759E-6</v>
      </c>
      <c r="W96" s="2"/>
      <c r="X96" s="7">
        <f t="shared" si="45"/>
        <v>1</v>
      </c>
      <c r="Y96" s="2"/>
      <c r="Z96" s="6">
        <f t="shared" si="46"/>
        <v>1.4285714285714286</v>
      </c>
    </row>
    <row r="97" spans="1:26" s="27" customFormat="1" outlineLevel="1" collapsed="1" x14ac:dyDescent="0.25">
      <c r="A97" s="29"/>
      <c r="B97" s="14" t="str">
        <f>CONCATENATE("     ","Bank/card Fees                                    ")</f>
        <v xml:space="preserve">     Bank/card Fees                                    </v>
      </c>
      <c r="C97" s="14"/>
      <c r="D97" s="1">
        <f>SUM(OSRRefD22_4x_0)</f>
        <v>395.45</v>
      </c>
      <c r="E97" s="1"/>
      <c r="F97" s="5">
        <f t="shared" si="39"/>
        <v>1.2843525745772175E-3</v>
      </c>
      <c r="G97" s="1"/>
      <c r="H97" s="1">
        <f>SUM(OSRRefH22_4x_0)</f>
        <v>306.45</v>
      </c>
      <c r="I97" s="1"/>
      <c r="J97" s="5">
        <f t="shared" si="40"/>
        <v>2.6936358995346328E-3</v>
      </c>
      <c r="K97" s="1"/>
      <c r="L97" s="1">
        <f t="shared" si="41"/>
        <v>89</v>
      </c>
      <c r="M97" s="1"/>
      <c r="N97" s="5">
        <f t="shared" si="42"/>
        <v>0.29042258117147984</v>
      </c>
      <c r="O97" s="14"/>
      <c r="P97" s="1">
        <f>SUM(OSRRefP22_4x_0)</f>
        <v>1501.98</v>
      </c>
      <c r="Q97" s="1"/>
      <c r="R97" s="5">
        <f t="shared" si="43"/>
        <v>1.6792869782239418E-3</v>
      </c>
      <c r="S97" s="1"/>
      <c r="T97" s="1">
        <f>SUM(OSRRefT22_4x_0)</f>
        <v>1066.17</v>
      </c>
      <c r="U97" s="1"/>
      <c r="V97" s="5">
        <f t="shared" si="44"/>
        <v>1.7781137161567674E-3</v>
      </c>
      <c r="W97" s="1"/>
      <c r="X97" s="1">
        <f t="shared" si="45"/>
        <v>435.80999999999995</v>
      </c>
      <c r="Y97" s="1"/>
      <c r="Z97" s="5">
        <f t="shared" si="46"/>
        <v>0.40876220490165727</v>
      </c>
    </row>
    <row r="98" spans="1:26" s="24" customFormat="1" hidden="1" outlineLevel="2" x14ac:dyDescent="0.25">
      <c r="A98" s="28"/>
      <c r="B98" s="11" t="str">
        <f>CONCATENATE("          ", "6381", " - ", "BANK/CREDIT CARD FEES")</f>
        <v xml:space="preserve">          6381 - BANK/CREDIT CARD FEES</v>
      </c>
      <c r="C98" s="11"/>
      <c r="D98" s="7">
        <v>395.45</v>
      </c>
      <c r="E98" s="2"/>
      <c r="F98" s="6">
        <f t="shared" si="39"/>
        <v>1.2843525745772175E-3</v>
      </c>
      <c r="G98" s="2"/>
      <c r="H98" s="7">
        <v>306.45</v>
      </c>
      <c r="I98" s="2"/>
      <c r="J98" s="6">
        <f t="shared" si="40"/>
        <v>2.6936358995346328E-3</v>
      </c>
      <c r="K98" s="2"/>
      <c r="L98" s="7">
        <f t="shared" si="41"/>
        <v>89</v>
      </c>
      <c r="M98" s="2"/>
      <c r="N98" s="6">
        <f t="shared" si="42"/>
        <v>0.29042258117147984</v>
      </c>
      <c r="O98" s="11"/>
      <c r="P98" s="7">
        <v>1501.98</v>
      </c>
      <c r="Q98" s="2"/>
      <c r="R98" s="6">
        <f t="shared" si="43"/>
        <v>1.6792869782239418E-3</v>
      </c>
      <c r="S98" s="2"/>
      <c r="T98" s="7">
        <v>1066.17</v>
      </c>
      <c r="U98" s="2"/>
      <c r="V98" s="6">
        <f t="shared" si="44"/>
        <v>1.7781137161567674E-3</v>
      </c>
      <c r="W98" s="2"/>
      <c r="X98" s="7">
        <f t="shared" si="45"/>
        <v>435.80999999999995</v>
      </c>
      <c r="Y98" s="2"/>
      <c r="Z98" s="6">
        <f t="shared" si="46"/>
        <v>0.40876220490165727</v>
      </c>
    </row>
    <row r="99" spans="1:26" s="27" customFormat="1" outlineLevel="1" collapsed="1" x14ac:dyDescent="0.25">
      <c r="A99" s="29"/>
      <c r="B99" s="14" t="str">
        <f>CONCATENATE("     ","Discounts and Markdowns                           ")</f>
        <v xml:space="preserve">     Discounts and Markdowns                           </v>
      </c>
      <c r="C99" s="14"/>
      <c r="D99" s="1">
        <f>SUM(OSRRefD22_5x_0)</f>
        <v>66.11</v>
      </c>
      <c r="E99" s="1"/>
      <c r="F99" s="5">
        <f t="shared" si="39"/>
        <v>2.1471374056214403E-4</v>
      </c>
      <c r="G99" s="1"/>
      <c r="H99" s="1">
        <f>SUM(OSRRefH22_5x_0)</f>
        <v>830.95</v>
      </c>
      <c r="I99" s="1"/>
      <c r="J99" s="5">
        <f t="shared" si="40"/>
        <v>7.3038888912328381E-3</v>
      </c>
      <c r="K99" s="1"/>
      <c r="L99" s="1">
        <f t="shared" si="41"/>
        <v>-764.84</v>
      </c>
      <c r="M99" s="1"/>
      <c r="N99" s="5">
        <f t="shared" si="42"/>
        <v>-0.92044045971478428</v>
      </c>
      <c r="O99" s="14"/>
      <c r="P99" s="1">
        <f>SUM(OSRRefP22_5x_0)</f>
        <v>0</v>
      </c>
      <c r="Q99" s="1"/>
      <c r="R99" s="5">
        <f t="shared" si="43"/>
        <v>0</v>
      </c>
      <c r="S99" s="1"/>
      <c r="T99" s="1">
        <f>SUM(OSRRefT22_5x_0)</f>
        <v>830.95</v>
      </c>
      <c r="U99" s="1"/>
      <c r="V99" s="5">
        <f t="shared" si="44"/>
        <v>1.3858236420462645E-3</v>
      </c>
      <c r="W99" s="1"/>
      <c r="X99" s="1">
        <f t="shared" si="45"/>
        <v>-830.95</v>
      </c>
      <c r="Y99" s="1"/>
      <c r="Z99" s="5">
        <f t="shared" si="46"/>
        <v>-1</v>
      </c>
    </row>
    <row r="100" spans="1:26" s="24" customFormat="1" hidden="1" outlineLevel="2" x14ac:dyDescent="0.25">
      <c r="A100" s="28"/>
      <c r="B100" s="11" t="str">
        <f>CONCATENATE("          ", "6382", " - ", "DISCOUNTS/MARK DOWNS")</f>
        <v xml:space="preserve">          6382 - DISCOUNTS/MARK DOWNS</v>
      </c>
      <c r="C100" s="11"/>
      <c r="D100" s="7"/>
      <c r="E100" s="2"/>
      <c r="F100" s="6">
        <f t="shared" si="39"/>
        <v>0</v>
      </c>
      <c r="G100" s="2"/>
      <c r="H100" s="7">
        <v>830.95</v>
      </c>
      <c r="I100" s="2"/>
      <c r="J100" s="6">
        <f t="shared" si="40"/>
        <v>7.3038888912328381E-3</v>
      </c>
      <c r="K100" s="2"/>
      <c r="L100" s="7">
        <f t="shared" si="41"/>
        <v>-830.95</v>
      </c>
      <c r="M100" s="2"/>
      <c r="N100" s="6">
        <f t="shared" si="42"/>
        <v>-1</v>
      </c>
      <c r="O100" s="11"/>
      <c r="P100" s="7"/>
      <c r="Q100" s="2"/>
      <c r="R100" s="6">
        <f t="shared" si="43"/>
        <v>0</v>
      </c>
      <c r="S100" s="2"/>
      <c r="T100" s="7">
        <v>830.95</v>
      </c>
      <c r="U100" s="2"/>
      <c r="V100" s="6">
        <f t="shared" si="44"/>
        <v>1.3858236420462645E-3</v>
      </c>
      <c r="W100" s="2"/>
      <c r="X100" s="7">
        <f t="shared" si="45"/>
        <v>-830.95</v>
      </c>
      <c r="Y100" s="2"/>
      <c r="Z100" s="6">
        <f t="shared" si="46"/>
        <v>-1</v>
      </c>
    </row>
    <row r="101" spans="1:26" s="24" customFormat="1" hidden="1" outlineLevel="2" x14ac:dyDescent="0.25">
      <c r="A101" s="28"/>
      <c r="B101" s="11" t="str">
        <f>CONCATENATE("          ", "9175", " - ", "EARNED DISCOUNTS")</f>
        <v xml:space="preserve">          9175 - EARNED DISCOUNTS</v>
      </c>
      <c r="C101" s="11"/>
      <c r="D101" s="7">
        <v>66.11</v>
      </c>
      <c r="E101" s="2"/>
      <c r="F101" s="6">
        <f t="shared" si="39"/>
        <v>2.1471374056214403E-4</v>
      </c>
      <c r="G101" s="2"/>
      <c r="H101" s="7"/>
      <c r="I101" s="2"/>
      <c r="J101" s="6">
        <f t="shared" si="40"/>
        <v>0</v>
      </c>
      <c r="K101" s="2"/>
      <c r="L101" s="7">
        <f t="shared" si="41"/>
        <v>66.11</v>
      </c>
      <c r="M101" s="2"/>
      <c r="N101" s="6">
        <f t="shared" si="42"/>
        <v>0</v>
      </c>
      <c r="O101" s="11"/>
      <c r="P101" s="7">
        <v>0</v>
      </c>
      <c r="Q101" s="2"/>
      <c r="R101" s="6">
        <f t="shared" si="43"/>
        <v>0</v>
      </c>
      <c r="S101" s="2"/>
      <c r="T101" s="7"/>
      <c r="U101" s="2"/>
      <c r="V101" s="6">
        <f t="shared" si="44"/>
        <v>0</v>
      </c>
      <c r="W101" s="2"/>
      <c r="X101" s="7">
        <f t="shared" si="45"/>
        <v>0</v>
      </c>
      <c r="Y101" s="2"/>
      <c r="Z101" s="6">
        <f t="shared" si="46"/>
        <v>0</v>
      </c>
    </row>
    <row r="102" spans="1:26" s="27" customFormat="1" outlineLevel="1" collapsed="1" x14ac:dyDescent="0.25">
      <c r="A102" s="29"/>
      <c r="B102" s="14" t="str">
        <f>CONCATENATE("     ","Employees' Appreciation                           ")</f>
        <v xml:space="preserve">     Employees' Appreciation                           </v>
      </c>
      <c r="C102" s="14"/>
      <c r="D102" s="1">
        <f>SUM(OSRRefD22_6x_0)</f>
        <v>0</v>
      </c>
      <c r="E102" s="1"/>
      <c r="F102" s="5">
        <f t="shared" ref="F102:F106" si="47">IF(D$12=0,0,D102/D$12)</f>
        <v>0</v>
      </c>
      <c r="G102" s="1"/>
      <c r="H102" s="1">
        <f>SUM(OSRRefH22_6x_0)</f>
        <v>0</v>
      </c>
      <c r="I102" s="1"/>
      <c r="J102" s="5">
        <f t="shared" ref="J102:J106" si="48">IF(H$12=0,0,H102/H$12)</f>
        <v>0</v>
      </c>
      <c r="K102" s="1"/>
      <c r="L102" s="1">
        <f t="shared" ref="L102:L106" si="49">+D102-H102</f>
        <v>0</v>
      </c>
      <c r="M102" s="1"/>
      <c r="N102" s="5">
        <f t="shared" ref="N102:N106" si="50">IF(H102=0,0,L102/H102)</f>
        <v>0</v>
      </c>
      <c r="O102" s="14"/>
      <c r="P102" s="1">
        <f>SUM(OSRRefP22_6x_0)</f>
        <v>216.44</v>
      </c>
      <c r="Q102" s="1"/>
      <c r="R102" s="5">
        <f t="shared" ref="R102:R106" si="51">IF(P$12=0,0,P102/P$12)</f>
        <v>2.4199048826668127E-4</v>
      </c>
      <c r="S102" s="1"/>
      <c r="T102" s="1">
        <f>SUM(OSRRefT22_6x_0)</f>
        <v>0</v>
      </c>
      <c r="U102" s="1"/>
      <c r="V102" s="5">
        <f t="shared" ref="V102:V106" si="52">IF(T$12=0,0,T102/T$12)</f>
        <v>0</v>
      </c>
      <c r="W102" s="1"/>
      <c r="X102" s="1">
        <f t="shared" ref="X102:X106" si="53">+P102-T102</f>
        <v>216.44</v>
      </c>
      <c r="Y102" s="1"/>
      <c r="Z102" s="5">
        <f t="shared" ref="Z102:Z106" si="54">IF(T102=0,0,X102/T102)</f>
        <v>0</v>
      </c>
    </row>
    <row r="103" spans="1:26" s="24" customFormat="1" hidden="1" outlineLevel="2" x14ac:dyDescent="0.25">
      <c r="A103" s="28"/>
      <c r="B103" s="11" t="str">
        <f>CONCATENATE("          ", "6277", " - ", "EMPLOYEE APPRECIATION")</f>
        <v xml:space="preserve">          6277 - EMPLOYEE APPRECIATION</v>
      </c>
      <c r="C103" s="11"/>
      <c r="D103" s="7"/>
      <c r="E103" s="2"/>
      <c r="F103" s="6">
        <f t="shared" si="47"/>
        <v>0</v>
      </c>
      <c r="G103" s="2"/>
      <c r="H103" s="7"/>
      <c r="I103" s="2"/>
      <c r="J103" s="6">
        <f t="shared" si="48"/>
        <v>0</v>
      </c>
      <c r="K103" s="2"/>
      <c r="L103" s="7">
        <f t="shared" si="49"/>
        <v>0</v>
      </c>
      <c r="M103" s="2"/>
      <c r="N103" s="6">
        <f t="shared" si="50"/>
        <v>0</v>
      </c>
      <c r="O103" s="11"/>
      <c r="P103" s="7">
        <v>216.44</v>
      </c>
      <c r="Q103" s="2"/>
      <c r="R103" s="6">
        <f t="shared" si="51"/>
        <v>2.4199048826668127E-4</v>
      </c>
      <c r="S103" s="2"/>
      <c r="T103" s="7"/>
      <c r="U103" s="2"/>
      <c r="V103" s="6">
        <f t="shared" si="52"/>
        <v>0</v>
      </c>
      <c r="W103" s="2"/>
      <c r="X103" s="7">
        <f t="shared" si="53"/>
        <v>216.44</v>
      </c>
      <c r="Y103" s="2"/>
      <c r="Z103" s="6">
        <f t="shared" si="54"/>
        <v>0</v>
      </c>
    </row>
    <row r="104" spans="1:26" s="27" customFormat="1" outlineLevel="1" collapsed="1" x14ac:dyDescent="0.25">
      <c r="A104" s="29"/>
      <c r="B104" s="14" t="str">
        <f>CONCATENATE("     ","Freight out/Postage                               ")</f>
        <v xml:space="preserve">     Freight out/Postage                               </v>
      </c>
      <c r="C104" s="14"/>
      <c r="D104" s="1">
        <f>SUM(OSRRefD22_7x_0)</f>
        <v>32.659999999999997</v>
      </c>
      <c r="E104" s="1"/>
      <c r="F104" s="5">
        <f t="shared" si="47"/>
        <v>1.0607397922794771E-4</v>
      </c>
      <c r="G104" s="1"/>
      <c r="H104" s="1">
        <f>SUM(OSRRefH22_7x_0)</f>
        <v>30.66</v>
      </c>
      <c r="I104" s="1"/>
      <c r="J104" s="5">
        <f t="shared" si="48"/>
        <v>2.69495437036162E-4</v>
      </c>
      <c r="K104" s="1"/>
      <c r="L104" s="1">
        <f t="shared" si="49"/>
        <v>1.9999999999999964</v>
      </c>
      <c r="M104" s="1"/>
      <c r="N104" s="5">
        <f t="shared" si="50"/>
        <v>6.5231572080887035E-2</v>
      </c>
      <c r="O104" s="14"/>
      <c r="P104" s="1">
        <f>SUM(OSRRefP22_7x_0)</f>
        <v>905.94999999999993</v>
      </c>
      <c r="Q104" s="1"/>
      <c r="R104" s="5">
        <f t="shared" si="51"/>
        <v>1.0128963354518567E-3</v>
      </c>
      <c r="S104" s="1"/>
      <c r="T104" s="1">
        <f>SUM(OSRRefT22_7x_0)</f>
        <v>81.11</v>
      </c>
      <c r="U104" s="1"/>
      <c r="V104" s="5">
        <f t="shared" si="52"/>
        <v>1.3527186425942898E-4</v>
      </c>
      <c r="W104" s="1"/>
      <c r="X104" s="1">
        <f t="shared" si="53"/>
        <v>824.83999999999992</v>
      </c>
      <c r="Y104" s="1"/>
      <c r="Z104" s="5">
        <f t="shared" si="54"/>
        <v>10.169399580816174</v>
      </c>
    </row>
    <row r="105" spans="1:26" s="24" customFormat="1" hidden="1" outlineLevel="2" x14ac:dyDescent="0.25">
      <c r="A105" s="28"/>
      <c r="B105" s="11" t="str">
        <f>CONCATENATE("          ", "6305", " - ", "FREIGHT OUT")</f>
        <v xml:space="preserve">          6305 - FREIGHT OUT</v>
      </c>
      <c r="C105" s="11"/>
      <c r="D105" s="7">
        <v>8.66</v>
      </c>
      <c r="E105" s="2"/>
      <c r="F105" s="6">
        <f t="shared" si="47"/>
        <v>2.8126168405205977E-5</v>
      </c>
      <c r="G105" s="2"/>
      <c r="H105" s="7">
        <v>30.66</v>
      </c>
      <c r="I105" s="2"/>
      <c r="J105" s="6">
        <f t="shared" si="48"/>
        <v>2.69495437036162E-4</v>
      </c>
      <c r="K105" s="2"/>
      <c r="L105" s="7">
        <f t="shared" si="49"/>
        <v>-22</v>
      </c>
      <c r="M105" s="2"/>
      <c r="N105" s="6">
        <f t="shared" si="50"/>
        <v>-0.7175472928897586</v>
      </c>
      <c r="O105" s="11"/>
      <c r="P105" s="7">
        <v>870.53</v>
      </c>
      <c r="Q105" s="2"/>
      <c r="R105" s="6">
        <f t="shared" si="51"/>
        <v>9.7329504597483852E-4</v>
      </c>
      <c r="S105" s="2"/>
      <c r="T105" s="7">
        <v>81.11</v>
      </c>
      <c r="U105" s="2"/>
      <c r="V105" s="6">
        <f t="shared" si="52"/>
        <v>1.3527186425942898E-4</v>
      </c>
      <c r="W105" s="2"/>
      <c r="X105" s="7">
        <f t="shared" si="53"/>
        <v>789.42</v>
      </c>
      <c r="Y105" s="2"/>
      <c r="Z105" s="6">
        <f t="shared" si="54"/>
        <v>9.7327086672420169</v>
      </c>
    </row>
    <row r="106" spans="1:26" s="24" customFormat="1" hidden="1" outlineLevel="2" x14ac:dyDescent="0.25">
      <c r="A106" s="28"/>
      <c r="B106" s="11" t="str">
        <f>CONCATENATE("          ", "6307", " - ", "POSTAGE")</f>
        <v xml:space="preserve">          6307 - POSTAGE</v>
      </c>
      <c r="C106" s="11"/>
      <c r="D106" s="7">
        <v>24</v>
      </c>
      <c r="E106" s="2"/>
      <c r="F106" s="6">
        <f t="shared" si="47"/>
        <v>7.7947810822741743E-5</v>
      </c>
      <c r="G106" s="2"/>
      <c r="H106" s="7"/>
      <c r="I106" s="2"/>
      <c r="J106" s="6">
        <f t="shared" si="48"/>
        <v>0</v>
      </c>
      <c r="K106" s="2"/>
      <c r="L106" s="7">
        <f t="shared" si="49"/>
        <v>24</v>
      </c>
      <c r="M106" s="2"/>
      <c r="N106" s="6">
        <f t="shared" si="50"/>
        <v>0</v>
      </c>
      <c r="O106" s="11"/>
      <c r="P106" s="7">
        <v>35.42</v>
      </c>
      <c r="Q106" s="2"/>
      <c r="R106" s="6">
        <f t="shared" si="51"/>
        <v>3.9601289477018347E-5</v>
      </c>
      <c r="S106" s="2"/>
      <c r="T106" s="7"/>
      <c r="U106" s="2"/>
      <c r="V106" s="6">
        <f t="shared" si="52"/>
        <v>0</v>
      </c>
      <c r="W106" s="2"/>
      <c r="X106" s="7">
        <f t="shared" si="53"/>
        <v>35.42</v>
      </c>
      <c r="Y106" s="2"/>
      <c r="Z106" s="6">
        <f t="shared" si="54"/>
        <v>0</v>
      </c>
    </row>
    <row r="107" spans="1:26" s="27" customFormat="1" outlineLevel="1" collapsed="1" x14ac:dyDescent="0.25">
      <c r="A107" s="29"/>
      <c r="B107" s="14" t="str">
        <f>CONCATENATE("     ","Insurance                                         ")</f>
        <v xml:space="preserve">     Insurance                                         </v>
      </c>
      <c r="C107" s="14"/>
      <c r="D107" s="1">
        <f>SUM(OSRRefD22_8x_0)</f>
        <v>219.08</v>
      </c>
      <c r="E107" s="1"/>
      <c r="F107" s="5">
        <f t="shared" ref="F107:F111" si="55">IF(D$12=0,0,D107/D$12)</f>
        <v>7.1153359979359422E-4</v>
      </c>
      <c r="G107" s="1"/>
      <c r="H107" s="1">
        <f>SUM(OSRRefH22_8x_0)</f>
        <v>161.18</v>
      </c>
      <c r="I107" s="1"/>
      <c r="J107" s="5">
        <f t="shared" ref="J107:J111" si="56">IF(H$12=0,0,H107/H$12)</f>
        <v>1.4167408526251986E-3</v>
      </c>
      <c r="K107" s="1"/>
      <c r="L107" s="1">
        <f t="shared" ref="L107:L111" si="57">+D107-H107</f>
        <v>57.900000000000006</v>
      </c>
      <c r="M107" s="1"/>
      <c r="N107" s="5">
        <f t="shared" ref="N107:N111" si="58">IF(H107=0,0,L107/H107)</f>
        <v>0.35922571038590395</v>
      </c>
      <c r="O107" s="14"/>
      <c r="P107" s="1">
        <f>SUM(OSRRefP22_8x_0)</f>
        <v>657.24</v>
      </c>
      <c r="Q107" s="1"/>
      <c r="R107" s="5">
        <f t="shared" ref="R107:R111" si="59">IF(P$12=0,0,P107/P$12)</f>
        <v>7.34826411515402E-4</v>
      </c>
      <c r="S107" s="1"/>
      <c r="T107" s="1">
        <f>SUM(OSRRefT22_8x_0)</f>
        <v>483.54</v>
      </c>
      <c r="U107" s="1"/>
      <c r="V107" s="5">
        <f t="shared" ref="V107:V111" si="60">IF(T$12=0,0,T107/T$12)</f>
        <v>8.064277801011501E-4</v>
      </c>
      <c r="W107" s="1"/>
      <c r="X107" s="1">
        <f t="shared" ref="X107:X111" si="61">+P107-T107</f>
        <v>173.7</v>
      </c>
      <c r="Y107" s="1"/>
      <c r="Z107" s="5">
        <f t="shared" ref="Z107:Z111" si="62">IF(T107=0,0,X107/T107)</f>
        <v>0.3592257103859039</v>
      </c>
    </row>
    <row r="108" spans="1:26" s="24" customFormat="1" hidden="1" outlineLevel="2" x14ac:dyDescent="0.25">
      <c r="A108" s="28"/>
      <c r="B108" s="11" t="str">
        <f>CONCATENATE("          ", "6314", " - ", "LIABILITY INSURANCE")</f>
        <v xml:space="preserve">          6314 - LIABILITY INSURANCE</v>
      </c>
      <c r="C108" s="11"/>
      <c r="D108" s="7">
        <v>219.08</v>
      </c>
      <c r="E108" s="2"/>
      <c r="F108" s="6">
        <f t="shared" si="55"/>
        <v>7.1153359979359422E-4</v>
      </c>
      <c r="G108" s="2"/>
      <c r="H108" s="7">
        <v>161.18</v>
      </c>
      <c r="I108" s="2"/>
      <c r="J108" s="6">
        <f t="shared" si="56"/>
        <v>1.4167408526251986E-3</v>
      </c>
      <c r="K108" s="2"/>
      <c r="L108" s="7">
        <f t="shared" si="57"/>
        <v>57.900000000000006</v>
      </c>
      <c r="M108" s="2"/>
      <c r="N108" s="6">
        <f t="shared" si="58"/>
        <v>0.35922571038590395</v>
      </c>
      <c r="O108" s="11"/>
      <c r="P108" s="7">
        <v>657.24</v>
      </c>
      <c r="Q108" s="2"/>
      <c r="R108" s="6">
        <f t="shared" si="59"/>
        <v>7.34826411515402E-4</v>
      </c>
      <c r="S108" s="2"/>
      <c r="T108" s="7">
        <v>483.54</v>
      </c>
      <c r="U108" s="2"/>
      <c r="V108" s="6">
        <f t="shared" si="60"/>
        <v>8.064277801011501E-4</v>
      </c>
      <c r="W108" s="2"/>
      <c r="X108" s="7">
        <f t="shared" si="61"/>
        <v>173.7</v>
      </c>
      <c r="Y108" s="2"/>
      <c r="Z108" s="6">
        <f t="shared" si="62"/>
        <v>0.3592257103859039</v>
      </c>
    </row>
    <row r="109" spans="1:26" s="27" customFormat="1" outlineLevel="1" collapsed="1" x14ac:dyDescent="0.25">
      <c r="A109" s="29"/>
      <c r="B109" s="14" t="str">
        <f>CONCATENATE("     ","Inventory Adjustment                              ")</f>
        <v xml:space="preserve">     Inventory Adjustment                              </v>
      </c>
      <c r="C109" s="14"/>
      <c r="D109" s="1">
        <f>SUM(OSRRefD22_9x_0)</f>
        <v>3450</v>
      </c>
      <c r="E109" s="1"/>
      <c r="F109" s="5">
        <f t="shared" si="55"/>
        <v>1.1204997805769125E-2</v>
      </c>
      <c r="G109" s="1"/>
      <c r="H109" s="1">
        <f>SUM(OSRRefH22_9x_0)</f>
        <v>1100</v>
      </c>
      <c r="I109" s="1"/>
      <c r="J109" s="5">
        <f t="shared" si="56"/>
        <v>9.6687860645720217E-3</v>
      </c>
      <c r="K109" s="1"/>
      <c r="L109" s="1">
        <f t="shared" si="57"/>
        <v>2350</v>
      </c>
      <c r="M109" s="1"/>
      <c r="N109" s="5">
        <f t="shared" si="58"/>
        <v>2.1363636363636362</v>
      </c>
      <c r="O109" s="14"/>
      <c r="P109" s="1">
        <f>SUM(OSRRefP22_9x_0)</f>
        <v>10350</v>
      </c>
      <c r="Q109" s="1"/>
      <c r="R109" s="5">
        <f t="shared" si="59"/>
        <v>1.1571805366661206E-2</v>
      </c>
      <c r="S109" s="1"/>
      <c r="T109" s="1">
        <f>SUM(OSRRefT22_9x_0)</f>
        <v>3300</v>
      </c>
      <c r="U109" s="1"/>
      <c r="V109" s="5">
        <f t="shared" si="60"/>
        <v>5.5036019240058635E-3</v>
      </c>
      <c r="W109" s="1"/>
      <c r="X109" s="1">
        <f t="shared" si="61"/>
        <v>7050</v>
      </c>
      <c r="Y109" s="1"/>
      <c r="Z109" s="5">
        <f t="shared" si="62"/>
        <v>2.1363636363636362</v>
      </c>
    </row>
    <row r="110" spans="1:26" s="24" customFormat="1" hidden="1" outlineLevel="2" x14ac:dyDescent="0.25">
      <c r="A110" s="28"/>
      <c r="B110" s="11" t="str">
        <f>CONCATENATE("          ", "6408", " - ", "INVENTORY ADJUSTMENT")</f>
        <v xml:space="preserve">          6408 - INVENTORY ADJUSTMENT</v>
      </c>
      <c r="C110" s="11"/>
      <c r="D110" s="7">
        <v>3450</v>
      </c>
      <c r="E110" s="2"/>
      <c r="F110" s="6">
        <f t="shared" si="55"/>
        <v>1.1204997805769125E-2</v>
      </c>
      <c r="G110" s="2"/>
      <c r="H110" s="7">
        <v>1100</v>
      </c>
      <c r="I110" s="2"/>
      <c r="J110" s="6">
        <f t="shared" si="56"/>
        <v>9.6687860645720217E-3</v>
      </c>
      <c r="K110" s="2"/>
      <c r="L110" s="7">
        <f t="shared" si="57"/>
        <v>2350</v>
      </c>
      <c r="M110" s="2"/>
      <c r="N110" s="6">
        <f t="shared" si="58"/>
        <v>2.1363636363636362</v>
      </c>
      <c r="O110" s="11"/>
      <c r="P110" s="7">
        <v>10350</v>
      </c>
      <c r="Q110" s="2"/>
      <c r="R110" s="6">
        <f t="shared" si="59"/>
        <v>1.1571805366661206E-2</v>
      </c>
      <c r="S110" s="2"/>
      <c r="T110" s="7">
        <v>3300</v>
      </c>
      <c r="U110" s="2"/>
      <c r="V110" s="6">
        <f t="shared" si="60"/>
        <v>5.5036019240058635E-3</v>
      </c>
      <c r="W110" s="2"/>
      <c r="X110" s="7">
        <f t="shared" si="61"/>
        <v>7050</v>
      </c>
      <c r="Y110" s="2"/>
      <c r="Z110" s="6">
        <f t="shared" si="62"/>
        <v>2.1363636363636362</v>
      </c>
    </row>
    <row r="111" spans="1:26" s="24" customFormat="1" hidden="1" outlineLevel="2" x14ac:dyDescent="0.25">
      <c r="A111" s="28"/>
      <c r="B111" s="11" t="str">
        <f>CONCATENATE("          ", "7741", " - ", "INV. SHRINKAGE-LOGO GIFTS")</f>
        <v xml:space="preserve">          7741 - INV. SHRINKAGE-LOGO GIFTS</v>
      </c>
      <c r="C111" s="11"/>
      <c r="D111" s="7"/>
      <c r="E111" s="2"/>
      <c r="F111" s="6">
        <f t="shared" si="55"/>
        <v>0</v>
      </c>
      <c r="G111" s="2"/>
      <c r="H111" s="7"/>
      <c r="I111" s="2"/>
      <c r="J111" s="6">
        <f t="shared" si="56"/>
        <v>0</v>
      </c>
      <c r="K111" s="2"/>
      <c r="L111" s="7">
        <f t="shared" si="57"/>
        <v>0</v>
      </c>
      <c r="M111" s="2"/>
      <c r="N111" s="6">
        <f t="shared" si="58"/>
        <v>0</v>
      </c>
      <c r="O111" s="11"/>
      <c r="P111" s="7"/>
      <c r="Q111" s="2"/>
      <c r="R111" s="6">
        <f t="shared" si="59"/>
        <v>0</v>
      </c>
      <c r="S111" s="2"/>
      <c r="T111" s="7">
        <v>0</v>
      </c>
      <c r="U111" s="2"/>
      <c r="V111" s="6">
        <f t="shared" si="60"/>
        <v>0</v>
      </c>
      <c r="W111" s="2"/>
      <c r="X111" s="7">
        <f t="shared" si="61"/>
        <v>0</v>
      </c>
      <c r="Y111" s="2"/>
      <c r="Z111" s="6">
        <f t="shared" si="62"/>
        <v>0</v>
      </c>
    </row>
    <row r="112" spans="1:26" s="27" customFormat="1" outlineLevel="1" collapsed="1" x14ac:dyDescent="0.25">
      <c r="A112" s="29"/>
      <c r="B112" s="14" t="str">
        <f>CONCATENATE("     ","Rent                                              ")</f>
        <v xml:space="preserve">     Rent                                              </v>
      </c>
      <c r="C112" s="14"/>
      <c r="D112" s="1">
        <f>SUM(OSRRefD22_10x_0)</f>
        <v>6900</v>
      </c>
      <c r="E112" s="1"/>
      <c r="F112" s="5">
        <f t="shared" ref="F112:F116" si="63">IF(D$12=0,0,D112/D$12)</f>
        <v>2.2409995611538249E-2</v>
      </c>
      <c r="G112" s="1"/>
      <c r="H112" s="1">
        <f>SUM(OSRRefH22_10x_0)</f>
        <v>6900</v>
      </c>
      <c r="I112" s="1"/>
      <c r="J112" s="5">
        <f t="shared" ref="J112:J116" si="64">IF(H$12=0,0,H112/H$12)</f>
        <v>6.0649658041406318E-2</v>
      </c>
      <c r="K112" s="1"/>
      <c r="L112" s="1">
        <f t="shared" ref="L112:L116" si="65">+D112-H112</f>
        <v>0</v>
      </c>
      <c r="M112" s="1"/>
      <c r="N112" s="5">
        <f t="shared" ref="N112:N116" si="66">IF(H112=0,0,L112/H112)</f>
        <v>0</v>
      </c>
      <c r="O112" s="14"/>
      <c r="P112" s="1">
        <f>SUM(OSRRefP22_10x_0)</f>
        <v>20700</v>
      </c>
      <c r="Q112" s="1"/>
      <c r="R112" s="5">
        <f t="shared" ref="R112:R116" si="67">IF(P$12=0,0,P112/P$12)</f>
        <v>2.3143610733322412E-2</v>
      </c>
      <c r="S112" s="1"/>
      <c r="T112" s="1">
        <f>SUM(OSRRefT22_10x_0)</f>
        <v>20700</v>
      </c>
      <c r="U112" s="1"/>
      <c r="V112" s="5">
        <f t="shared" ref="V112:V116" si="68">IF(T$12=0,0,T112/T$12)</f>
        <v>3.4522593886945875E-2</v>
      </c>
      <c r="W112" s="1"/>
      <c r="X112" s="1">
        <f t="shared" ref="X112:X116" si="69">+P112-T112</f>
        <v>0</v>
      </c>
      <c r="Y112" s="1"/>
      <c r="Z112" s="5">
        <f t="shared" ref="Z112:Z116" si="70">IF(T112=0,0,X112/T112)</f>
        <v>0</v>
      </c>
    </row>
    <row r="113" spans="1:26" s="24" customFormat="1" hidden="1" outlineLevel="2" x14ac:dyDescent="0.25">
      <c r="A113" s="28"/>
      <c r="B113" s="11" t="str">
        <f>CONCATENATE("          ", "6273", " - ", "RENT")</f>
        <v xml:space="preserve">          6273 - RENT</v>
      </c>
      <c r="C113" s="11"/>
      <c r="D113" s="7">
        <v>6900</v>
      </c>
      <c r="E113" s="2"/>
      <c r="F113" s="6">
        <f t="shared" si="63"/>
        <v>2.2409995611538249E-2</v>
      </c>
      <c r="G113" s="2"/>
      <c r="H113" s="7">
        <v>6900</v>
      </c>
      <c r="I113" s="2"/>
      <c r="J113" s="6">
        <f t="shared" si="64"/>
        <v>6.0649658041406318E-2</v>
      </c>
      <c r="K113" s="2"/>
      <c r="L113" s="7">
        <f t="shared" si="65"/>
        <v>0</v>
      </c>
      <c r="M113" s="2"/>
      <c r="N113" s="6">
        <f t="shared" si="66"/>
        <v>0</v>
      </c>
      <c r="O113" s="11"/>
      <c r="P113" s="7">
        <v>20700</v>
      </c>
      <c r="Q113" s="2"/>
      <c r="R113" s="6">
        <f t="shared" si="67"/>
        <v>2.3143610733322412E-2</v>
      </c>
      <c r="S113" s="2"/>
      <c r="T113" s="7">
        <v>20700</v>
      </c>
      <c r="U113" s="2"/>
      <c r="V113" s="6">
        <f t="shared" si="68"/>
        <v>3.4522593886945875E-2</v>
      </c>
      <c r="W113" s="2"/>
      <c r="X113" s="7">
        <f t="shared" si="69"/>
        <v>0</v>
      </c>
      <c r="Y113" s="2"/>
      <c r="Z113" s="6">
        <f t="shared" si="70"/>
        <v>0</v>
      </c>
    </row>
    <row r="114" spans="1:26" s="27" customFormat="1" outlineLevel="1" collapsed="1" x14ac:dyDescent="0.25">
      <c r="A114" s="29"/>
      <c r="B114" s="14" t="str">
        <f>CONCATENATE("     ","Repair and Maintenance                            ")</f>
        <v xml:space="preserve">     Repair and Maintenance                            </v>
      </c>
      <c r="C114" s="14"/>
      <c r="D114" s="1">
        <f>SUM(OSRRefD22_11x_0)</f>
        <v>230.9</v>
      </c>
      <c r="E114" s="1"/>
      <c r="F114" s="5">
        <f t="shared" si="63"/>
        <v>7.4992289662379451E-4</v>
      </c>
      <c r="G114" s="1"/>
      <c r="H114" s="1">
        <f>SUM(OSRRefH22_11x_0)</f>
        <v>48.21</v>
      </c>
      <c r="I114" s="1"/>
      <c r="J114" s="5">
        <f t="shared" si="64"/>
        <v>4.2375652379365197E-4</v>
      </c>
      <c r="K114" s="1"/>
      <c r="L114" s="1">
        <f t="shared" si="65"/>
        <v>182.69</v>
      </c>
      <c r="M114" s="1"/>
      <c r="N114" s="5">
        <f t="shared" si="66"/>
        <v>3.7894627670607757</v>
      </c>
      <c r="O114" s="14"/>
      <c r="P114" s="1">
        <f>SUM(OSRRefP22_11x_0)</f>
        <v>1012.96</v>
      </c>
      <c r="Q114" s="1"/>
      <c r="R114" s="5">
        <f t="shared" si="67"/>
        <v>1.1325387405036846E-3</v>
      </c>
      <c r="S114" s="1"/>
      <c r="T114" s="1">
        <f>SUM(OSRRefT22_11x_0)</f>
        <v>48.21</v>
      </c>
      <c r="U114" s="1"/>
      <c r="V114" s="5">
        <f t="shared" si="68"/>
        <v>8.0402620835249306E-5</v>
      </c>
      <c r="W114" s="1"/>
      <c r="X114" s="1">
        <f t="shared" si="69"/>
        <v>964.75</v>
      </c>
      <c r="Y114" s="1"/>
      <c r="Z114" s="5">
        <f t="shared" si="70"/>
        <v>20.011408421489318</v>
      </c>
    </row>
    <row r="115" spans="1:26" s="24" customFormat="1" hidden="1" outlineLevel="2" x14ac:dyDescent="0.25">
      <c r="A115" s="28"/>
      <c r="B115" s="11" t="str">
        <f>CONCATENATE("          ", "6373", " - ", "MAINTENANCE CONTRACTS")</f>
        <v xml:space="preserve">          6373 - MAINTENANCE CONTRACTS</v>
      </c>
      <c r="C115" s="11"/>
      <c r="D115" s="7">
        <v>230.9</v>
      </c>
      <c r="E115" s="2"/>
      <c r="F115" s="6">
        <f t="shared" si="63"/>
        <v>7.4992289662379451E-4</v>
      </c>
      <c r="G115" s="2"/>
      <c r="H115" s="7">
        <v>48.21</v>
      </c>
      <c r="I115" s="2"/>
      <c r="J115" s="6">
        <f t="shared" si="64"/>
        <v>4.2375652379365197E-4</v>
      </c>
      <c r="K115" s="2"/>
      <c r="L115" s="7">
        <f t="shared" si="65"/>
        <v>182.69</v>
      </c>
      <c r="M115" s="2"/>
      <c r="N115" s="6">
        <f t="shared" si="66"/>
        <v>3.7894627670607757</v>
      </c>
      <c r="O115" s="11"/>
      <c r="P115" s="7">
        <v>236.6</v>
      </c>
      <c r="Q115" s="2"/>
      <c r="R115" s="6">
        <f t="shared" si="67"/>
        <v>2.6453035263304745E-4</v>
      </c>
      <c r="S115" s="2"/>
      <c r="T115" s="7">
        <v>48.21</v>
      </c>
      <c r="U115" s="2"/>
      <c r="V115" s="6">
        <f t="shared" si="68"/>
        <v>8.0402620835249306E-5</v>
      </c>
      <c r="W115" s="2"/>
      <c r="X115" s="7">
        <f t="shared" si="69"/>
        <v>188.39</v>
      </c>
      <c r="Y115" s="2"/>
      <c r="Z115" s="6">
        <f t="shared" si="70"/>
        <v>3.9076954988591575</v>
      </c>
    </row>
    <row r="116" spans="1:26" s="24" customFormat="1" hidden="1" outlineLevel="2" x14ac:dyDescent="0.25">
      <c r="A116" s="28"/>
      <c r="B116" s="11" t="str">
        <f>CONCATENATE("          ", "6375", " - ", "OUTSIDE REPAIRS &amp; MAINTENANCE")</f>
        <v xml:space="preserve">          6375 - OUTSIDE REPAIRS &amp; MAINTENANCE</v>
      </c>
      <c r="C116" s="11"/>
      <c r="D116" s="7"/>
      <c r="E116" s="2"/>
      <c r="F116" s="6">
        <f t="shared" si="63"/>
        <v>0</v>
      </c>
      <c r="G116" s="2"/>
      <c r="H116" s="7"/>
      <c r="I116" s="2"/>
      <c r="J116" s="6">
        <f t="shared" si="64"/>
        <v>0</v>
      </c>
      <c r="K116" s="2"/>
      <c r="L116" s="7">
        <f t="shared" si="65"/>
        <v>0</v>
      </c>
      <c r="M116" s="2"/>
      <c r="N116" s="6">
        <f t="shared" si="66"/>
        <v>0</v>
      </c>
      <c r="O116" s="11"/>
      <c r="P116" s="7">
        <v>776.36</v>
      </c>
      <c r="Q116" s="2"/>
      <c r="R116" s="6">
        <f t="shared" si="67"/>
        <v>8.6800838787063706E-4</v>
      </c>
      <c r="S116" s="2"/>
      <c r="T116" s="7"/>
      <c r="U116" s="2"/>
      <c r="V116" s="6">
        <f t="shared" si="68"/>
        <v>0</v>
      </c>
      <c r="W116" s="2"/>
      <c r="X116" s="7">
        <f t="shared" si="69"/>
        <v>776.36</v>
      </c>
      <c r="Y116" s="2"/>
      <c r="Z116" s="6">
        <f t="shared" si="70"/>
        <v>0</v>
      </c>
    </row>
    <row r="117" spans="1:26" s="27" customFormat="1" outlineLevel="1" collapsed="1" x14ac:dyDescent="0.25">
      <c r="A117" s="29"/>
      <c r="B117" s="14" t="str">
        <f>CONCATENATE("     ","Royalty &amp; Commissions                             ")</f>
        <v xml:space="preserve">     Royalty &amp; Commissions                             </v>
      </c>
      <c r="C117" s="14"/>
      <c r="D117" s="1">
        <f>SUM(OSRRefD22_12x_0)</f>
        <v>0</v>
      </c>
      <c r="E117" s="1"/>
      <c r="F117" s="5">
        <f t="shared" ref="F117:F119" si="71">IF(D$12=0,0,D117/D$12)</f>
        <v>0</v>
      </c>
      <c r="G117" s="1"/>
      <c r="H117" s="1">
        <f>SUM(OSRRefH22_12x_0)</f>
        <v>0</v>
      </c>
      <c r="I117" s="1"/>
      <c r="J117" s="5">
        <f t="shared" ref="J117:J119" si="72">IF(H$12=0,0,H117/H$12)</f>
        <v>0</v>
      </c>
      <c r="K117" s="1"/>
      <c r="L117" s="1">
        <f t="shared" ref="L117:L119" si="73">+D117-H117</f>
        <v>0</v>
      </c>
      <c r="M117" s="1"/>
      <c r="N117" s="5">
        <f t="shared" ref="N117:N119" si="74">IF(H117=0,0,L117/H117)</f>
        <v>0</v>
      </c>
      <c r="O117" s="14"/>
      <c r="P117" s="1">
        <f>SUM(OSRRefP22_12x_0)</f>
        <v>7349.0400000000009</v>
      </c>
      <c r="Q117" s="1"/>
      <c r="R117" s="5">
        <f t="shared" ref="R117:R119" si="75">IF(P$12=0,0,P117/P$12)</f>
        <v>8.2165855566964131E-3</v>
      </c>
      <c r="S117" s="1"/>
      <c r="T117" s="1">
        <f>SUM(OSRRefT22_12x_0)</f>
        <v>7922.2</v>
      </c>
      <c r="U117" s="1"/>
      <c r="V117" s="5">
        <f t="shared" ref="V117:V119" si="76">IF(T$12=0,0,T117/T$12)</f>
        <v>1.321231368556341E-2</v>
      </c>
      <c r="W117" s="1"/>
      <c r="X117" s="1">
        <f t="shared" ref="X117:X119" si="77">+P117-T117</f>
        <v>-573.15999999999894</v>
      </c>
      <c r="Y117" s="1"/>
      <c r="Z117" s="5">
        <f t="shared" ref="Z117:Z119" si="78">IF(T117=0,0,X117/T117)</f>
        <v>-7.2348590038120594E-2</v>
      </c>
    </row>
    <row r="118" spans="1:26" s="24" customFormat="1" hidden="1" outlineLevel="2" x14ac:dyDescent="0.25">
      <c r="A118" s="28"/>
      <c r="B118" s="11" t="str">
        <f>CONCATENATE("          ", "6253", " - ", "ROYALTY DUE ATHLETICS-LRG")</f>
        <v xml:space="preserve">          6253 - ROYALTY DUE ATHLETICS-LRG</v>
      </c>
      <c r="C118" s="11"/>
      <c r="D118" s="7"/>
      <c r="E118" s="2"/>
      <c r="F118" s="6">
        <f t="shared" si="71"/>
        <v>0</v>
      </c>
      <c r="G118" s="2"/>
      <c r="H118" s="7"/>
      <c r="I118" s="2"/>
      <c r="J118" s="6">
        <f t="shared" si="72"/>
        <v>0</v>
      </c>
      <c r="K118" s="2"/>
      <c r="L118" s="7">
        <f t="shared" si="73"/>
        <v>0</v>
      </c>
      <c r="M118" s="2"/>
      <c r="N118" s="6">
        <f t="shared" si="74"/>
        <v>0</v>
      </c>
      <c r="O118" s="11"/>
      <c r="P118" s="7">
        <v>14376.54</v>
      </c>
      <c r="Q118" s="2"/>
      <c r="R118" s="6">
        <f t="shared" si="75"/>
        <v>1.6073673693335216E-2</v>
      </c>
      <c r="S118" s="2"/>
      <c r="T118" s="7">
        <v>7922.2</v>
      </c>
      <c r="U118" s="2"/>
      <c r="V118" s="6">
        <f t="shared" si="76"/>
        <v>1.321231368556341E-2</v>
      </c>
      <c r="W118" s="2"/>
      <c r="X118" s="7">
        <f t="shared" si="77"/>
        <v>6454.3400000000011</v>
      </c>
      <c r="Y118" s="2"/>
      <c r="Z118" s="6">
        <f t="shared" si="78"/>
        <v>0.81471560930044695</v>
      </c>
    </row>
    <row r="119" spans="1:26" s="24" customFormat="1" hidden="1" outlineLevel="2" x14ac:dyDescent="0.25">
      <c r="A119" s="28"/>
      <c r="B119" s="11" t="str">
        <f>CONCATENATE("          ", "6254", " - ", "ROYALTY &amp; COMMISSIONS")</f>
        <v xml:space="preserve">          6254 - ROYALTY &amp; COMMISSIONS</v>
      </c>
      <c r="C119" s="11"/>
      <c r="D119" s="7"/>
      <c r="E119" s="2"/>
      <c r="F119" s="6">
        <f t="shared" si="71"/>
        <v>0</v>
      </c>
      <c r="G119" s="2"/>
      <c r="H119" s="7"/>
      <c r="I119" s="2"/>
      <c r="J119" s="6">
        <f t="shared" si="72"/>
        <v>0</v>
      </c>
      <c r="K119" s="2"/>
      <c r="L119" s="7">
        <f t="shared" si="73"/>
        <v>0</v>
      </c>
      <c r="M119" s="2"/>
      <c r="N119" s="6">
        <f t="shared" si="74"/>
        <v>0</v>
      </c>
      <c r="O119" s="11"/>
      <c r="P119" s="7">
        <v>-7027.5</v>
      </c>
      <c r="Q119" s="2"/>
      <c r="R119" s="6">
        <f t="shared" si="75"/>
        <v>-7.8570881366388044E-3</v>
      </c>
      <c r="S119" s="2"/>
      <c r="T119" s="7"/>
      <c r="U119" s="2"/>
      <c r="V119" s="6">
        <f t="shared" si="76"/>
        <v>0</v>
      </c>
      <c r="W119" s="2"/>
      <c r="X119" s="7">
        <f t="shared" si="77"/>
        <v>-7027.5</v>
      </c>
      <c r="Y119" s="2"/>
      <c r="Z119" s="6">
        <f t="shared" si="78"/>
        <v>0</v>
      </c>
    </row>
    <row r="120" spans="1:26" s="27" customFormat="1" outlineLevel="1" collapsed="1" x14ac:dyDescent="0.25">
      <c r="A120" s="29"/>
      <c r="B120" s="14" t="str">
        <f>CONCATENATE("     ","Services                                          ")</f>
        <v xml:space="preserve">     Services                                          </v>
      </c>
      <c r="C120" s="14"/>
      <c r="D120" s="1">
        <f>SUM(OSRRefD22_13x_0)</f>
        <v>162.72</v>
      </c>
      <c r="E120" s="1"/>
      <c r="F120" s="5">
        <f t="shared" ref="F120:F122" si="79">IF(D$12=0,0,D120/D$12)</f>
        <v>5.2848615737818903E-4</v>
      </c>
      <c r="G120" s="1"/>
      <c r="H120" s="1">
        <f>SUM(OSRRefH22_13x_0)</f>
        <v>142.57</v>
      </c>
      <c r="I120" s="1"/>
      <c r="J120" s="5">
        <f t="shared" ref="J120:J122" si="80">IF(H$12=0,0,H120/H$12)</f>
        <v>1.2531625720236664E-3</v>
      </c>
      <c r="K120" s="1"/>
      <c r="L120" s="1">
        <f t="shared" ref="L120:L122" si="81">+D120-H120</f>
        <v>20.150000000000006</v>
      </c>
      <c r="M120" s="1"/>
      <c r="N120" s="5">
        <f t="shared" ref="N120:N122" si="82">IF(H120=0,0,L120/H120)</f>
        <v>0.14133408150382273</v>
      </c>
      <c r="O120" s="14"/>
      <c r="P120" s="1">
        <f>SUM(OSRRefP22_13x_0)</f>
        <v>481.03000000000003</v>
      </c>
      <c r="Q120" s="1"/>
      <c r="R120" s="5">
        <f t="shared" ref="R120:R122" si="83">IF(P$12=0,0,P120/P$12)</f>
        <v>5.3781502758696036E-4</v>
      </c>
      <c r="S120" s="1"/>
      <c r="T120" s="1">
        <f>SUM(OSRRefT22_13x_0)</f>
        <v>-109.03000000000003</v>
      </c>
      <c r="U120" s="1"/>
      <c r="V120" s="5">
        <f t="shared" ref="V120:V122" si="84">IF(T$12=0,0,T120/T$12)</f>
        <v>-1.8183567205283622E-4</v>
      </c>
      <c r="W120" s="1"/>
      <c r="X120" s="1">
        <f t="shared" ref="X120:X122" si="85">+P120-T120</f>
        <v>590.06000000000006</v>
      </c>
      <c r="Y120" s="1"/>
      <c r="Z120" s="5">
        <f t="shared" ref="Z120:Z122" si="86">IF(T120=0,0,X120/T120)</f>
        <v>-5.4119049802806556</v>
      </c>
    </row>
    <row r="121" spans="1:26" s="24" customFormat="1" hidden="1" outlineLevel="2" x14ac:dyDescent="0.25">
      <c r="A121" s="28"/>
      <c r="B121" s="11" t="str">
        <f>CONCATENATE("          ", "6284", " - ", "TRASH REMOVAL EXPENSE")</f>
        <v xml:space="preserve">          6284 - TRASH REMOVAL EXPENSE</v>
      </c>
      <c r="C121" s="11"/>
      <c r="D121" s="7">
        <v>149.69999999999999</v>
      </c>
      <c r="E121" s="2"/>
      <c r="F121" s="6">
        <f t="shared" si="79"/>
        <v>4.8619947000685157E-4</v>
      </c>
      <c r="G121" s="2"/>
      <c r="H121" s="7">
        <v>142.57</v>
      </c>
      <c r="I121" s="2"/>
      <c r="J121" s="6">
        <f t="shared" si="80"/>
        <v>1.2531625720236664E-3</v>
      </c>
      <c r="K121" s="2"/>
      <c r="L121" s="7">
        <f t="shared" si="81"/>
        <v>7.1299999999999955</v>
      </c>
      <c r="M121" s="2"/>
      <c r="N121" s="6">
        <f t="shared" si="82"/>
        <v>5.0010521147506461E-2</v>
      </c>
      <c r="O121" s="11"/>
      <c r="P121" s="7">
        <v>441.97</v>
      </c>
      <c r="Q121" s="2"/>
      <c r="R121" s="6">
        <f t="shared" si="83"/>
        <v>4.9414404037712587E-4</v>
      </c>
      <c r="S121" s="2"/>
      <c r="T121" s="7">
        <v>427.71</v>
      </c>
      <c r="U121" s="2"/>
      <c r="V121" s="6">
        <f t="shared" si="84"/>
        <v>7.1331684209592356E-4</v>
      </c>
      <c r="W121" s="2"/>
      <c r="X121" s="7">
        <f t="shared" si="85"/>
        <v>14.260000000000048</v>
      </c>
      <c r="Y121" s="2"/>
      <c r="Z121" s="6">
        <f t="shared" si="86"/>
        <v>3.3340347431671108E-2</v>
      </c>
    </row>
    <row r="122" spans="1:26" s="24" customFormat="1" hidden="1" outlineLevel="2" x14ac:dyDescent="0.25">
      <c r="A122" s="28"/>
      <c r="B122" s="11" t="str">
        <f>CONCATENATE("          ", "6285", " - ", "JANITORIAL SERVICES")</f>
        <v xml:space="preserve">          6285 - JANITORIAL SERVICES</v>
      </c>
      <c r="C122" s="11"/>
      <c r="D122" s="7">
        <v>13.02</v>
      </c>
      <c r="E122" s="2"/>
      <c r="F122" s="6">
        <f t="shared" si="79"/>
        <v>4.2286687371337395E-5</v>
      </c>
      <c r="G122" s="2"/>
      <c r="H122" s="7"/>
      <c r="I122" s="2"/>
      <c r="J122" s="6">
        <f t="shared" si="80"/>
        <v>0</v>
      </c>
      <c r="K122" s="2"/>
      <c r="L122" s="7">
        <f t="shared" si="81"/>
        <v>13.02</v>
      </c>
      <c r="M122" s="2"/>
      <c r="N122" s="6">
        <f t="shared" si="82"/>
        <v>0</v>
      </c>
      <c r="O122" s="11"/>
      <c r="P122" s="7">
        <v>39.06</v>
      </c>
      <c r="Q122" s="2"/>
      <c r="R122" s="6">
        <f t="shared" si="83"/>
        <v>4.3670987209834463E-5</v>
      </c>
      <c r="S122" s="2"/>
      <c r="T122" s="7">
        <v>-536.74</v>
      </c>
      <c r="U122" s="2"/>
      <c r="V122" s="6">
        <f t="shared" si="84"/>
        <v>-8.9515251414875978E-4</v>
      </c>
      <c r="W122" s="2"/>
      <c r="X122" s="7">
        <f t="shared" si="85"/>
        <v>575.79999999999995</v>
      </c>
      <c r="Y122" s="2"/>
      <c r="Z122" s="6">
        <f t="shared" si="86"/>
        <v>-1.0727726646048366</v>
      </c>
    </row>
    <row r="123" spans="1:26" s="27" customFormat="1" outlineLevel="1" collapsed="1" x14ac:dyDescent="0.25">
      <c r="A123" s="29"/>
      <c r="B123" s="14" t="str">
        <f>CONCATENATE("     ","Subscriptions &amp; Dues                              ")</f>
        <v xml:space="preserve">     Subscriptions &amp; Dues                              </v>
      </c>
      <c r="C123" s="14"/>
      <c r="D123" s="1">
        <f>SUM(OSRRefD22_14x_0)</f>
        <v>0</v>
      </c>
      <c r="E123" s="1"/>
      <c r="F123" s="5">
        <f t="shared" ref="F123:F129" si="87">IF(D$12=0,0,D123/D$12)</f>
        <v>0</v>
      </c>
      <c r="G123" s="1"/>
      <c r="H123" s="1">
        <f>SUM(OSRRefH22_14x_0)</f>
        <v>75.73</v>
      </c>
      <c r="I123" s="1"/>
      <c r="J123" s="5">
        <f t="shared" ref="J123:J129" si="88">IF(H$12=0,0,H123/H$12)</f>
        <v>6.656519715182175E-4</v>
      </c>
      <c r="K123" s="1"/>
      <c r="L123" s="1">
        <f t="shared" ref="L123:L129" si="89">+D123-H123</f>
        <v>-75.73</v>
      </c>
      <c r="M123" s="1"/>
      <c r="N123" s="5">
        <f t="shared" ref="N123:N129" si="90">IF(H123=0,0,L123/H123)</f>
        <v>-1</v>
      </c>
      <c r="O123" s="14"/>
      <c r="P123" s="1">
        <f>SUM(OSRRefP22_14x_0)</f>
        <v>0</v>
      </c>
      <c r="Q123" s="1"/>
      <c r="R123" s="5">
        <f t="shared" ref="R123:R129" si="91">IF(P$12=0,0,P123/P$12)</f>
        <v>0</v>
      </c>
      <c r="S123" s="1"/>
      <c r="T123" s="1">
        <f>SUM(OSRRefT22_14x_0)</f>
        <v>150.72999999999999</v>
      </c>
      <c r="U123" s="1"/>
      <c r="V123" s="5">
        <f t="shared" ref="V123:V129" si="92">IF(T$12=0,0,T123/T$12)</f>
        <v>2.5138118727436481E-4</v>
      </c>
      <c r="W123" s="1"/>
      <c r="X123" s="1">
        <f t="shared" ref="X123:X129" si="93">+P123-T123</f>
        <v>-150.72999999999999</v>
      </c>
      <c r="Y123" s="1"/>
      <c r="Z123" s="5">
        <f t="shared" ref="Z123:Z129" si="94">IF(T123=0,0,X123/T123)</f>
        <v>-1</v>
      </c>
    </row>
    <row r="124" spans="1:26" s="24" customFormat="1" hidden="1" outlineLevel="2" x14ac:dyDescent="0.25">
      <c r="A124" s="28"/>
      <c r="B124" s="11" t="str">
        <f>CONCATENATE("          ", "6275", " - ", "SUBSCRIPTIONS")</f>
        <v xml:space="preserve">          6275 - SUBSCRIPTIONS</v>
      </c>
      <c r="C124" s="11"/>
      <c r="D124" s="7"/>
      <c r="E124" s="2"/>
      <c r="F124" s="6">
        <f t="shared" si="87"/>
        <v>0</v>
      </c>
      <c r="G124" s="2"/>
      <c r="H124" s="7">
        <v>75.73</v>
      </c>
      <c r="I124" s="2"/>
      <c r="J124" s="6">
        <f t="shared" si="88"/>
        <v>6.656519715182175E-4</v>
      </c>
      <c r="K124" s="2"/>
      <c r="L124" s="7">
        <f t="shared" si="89"/>
        <v>-75.73</v>
      </c>
      <c r="M124" s="2"/>
      <c r="N124" s="6">
        <f t="shared" si="90"/>
        <v>-1</v>
      </c>
      <c r="O124" s="11"/>
      <c r="P124" s="7"/>
      <c r="Q124" s="2"/>
      <c r="R124" s="6">
        <f t="shared" si="91"/>
        <v>0</v>
      </c>
      <c r="S124" s="2"/>
      <c r="T124" s="7">
        <v>150.72999999999999</v>
      </c>
      <c r="U124" s="2"/>
      <c r="V124" s="6">
        <f t="shared" si="92"/>
        <v>2.5138118727436481E-4</v>
      </c>
      <c r="W124" s="2"/>
      <c r="X124" s="7">
        <f t="shared" si="93"/>
        <v>-150.72999999999999</v>
      </c>
      <c r="Y124" s="2"/>
      <c r="Z124" s="6">
        <f t="shared" si="94"/>
        <v>-1</v>
      </c>
    </row>
    <row r="125" spans="1:26" s="27" customFormat="1" outlineLevel="1" collapsed="1" x14ac:dyDescent="0.25">
      <c r="A125" s="29"/>
      <c r="B125" s="14" t="str">
        <f>CONCATENATE("     ","Supplies                                          ")</f>
        <v xml:space="preserve">     Supplies                                          </v>
      </c>
      <c r="C125" s="14"/>
      <c r="D125" s="1">
        <f>SUM(OSRRefD22_15x_0)</f>
        <v>324.99</v>
      </c>
      <c r="E125" s="1"/>
      <c r="F125" s="5">
        <f t="shared" si="87"/>
        <v>1.0555107933034515E-3</v>
      </c>
      <c r="G125" s="1"/>
      <c r="H125" s="1">
        <f>SUM(OSRRefH22_15x_0)</f>
        <v>297.52999999999997</v>
      </c>
      <c r="I125" s="1"/>
      <c r="J125" s="5">
        <f t="shared" si="88"/>
        <v>2.6152308343564668E-3</v>
      </c>
      <c r="K125" s="1"/>
      <c r="L125" s="1">
        <f t="shared" si="89"/>
        <v>27.460000000000036</v>
      </c>
      <c r="M125" s="1"/>
      <c r="N125" s="5">
        <f t="shared" si="90"/>
        <v>9.2293214129667733E-2</v>
      </c>
      <c r="O125" s="14"/>
      <c r="P125" s="1">
        <f>SUM(OSRRefP22_15x_0)</f>
        <v>6244.28</v>
      </c>
      <c r="Q125" s="1"/>
      <c r="R125" s="5">
        <f t="shared" si="91"/>
        <v>6.9814099338101673E-3</v>
      </c>
      <c r="S125" s="1"/>
      <c r="T125" s="1">
        <f>SUM(OSRRefT22_15x_0)</f>
        <v>1509.7099999999998</v>
      </c>
      <c r="U125" s="1"/>
      <c r="V125" s="5">
        <f t="shared" si="92"/>
        <v>2.5178311699063306E-3</v>
      </c>
      <c r="W125" s="1"/>
      <c r="X125" s="1">
        <f t="shared" si="93"/>
        <v>4734.57</v>
      </c>
      <c r="Y125" s="1"/>
      <c r="Z125" s="5">
        <f t="shared" si="94"/>
        <v>3.1360791145319302</v>
      </c>
    </row>
    <row r="126" spans="1:26" s="24" customFormat="1" hidden="1" outlineLevel="2" x14ac:dyDescent="0.25">
      <c r="A126" s="28"/>
      <c r="B126" s="11" t="str">
        <f>CONCATENATE("          ", "6235", " - ", "COVID-19 EXPENSES")</f>
        <v xml:space="preserve">          6235 - COVID-19 EXPENSES</v>
      </c>
      <c r="C126" s="11"/>
      <c r="D126" s="7"/>
      <c r="E126" s="2"/>
      <c r="F126" s="6">
        <f t="shared" si="87"/>
        <v>0</v>
      </c>
      <c r="G126" s="2"/>
      <c r="H126" s="7">
        <v>265.7</v>
      </c>
      <c r="I126" s="2"/>
      <c r="J126" s="6">
        <f t="shared" si="88"/>
        <v>2.3354513248698056E-3</v>
      </c>
      <c r="K126" s="2"/>
      <c r="L126" s="7">
        <f t="shared" si="89"/>
        <v>-265.7</v>
      </c>
      <c r="M126" s="2"/>
      <c r="N126" s="6">
        <f t="shared" si="90"/>
        <v>-1</v>
      </c>
      <c r="O126" s="11"/>
      <c r="P126" s="7"/>
      <c r="Q126" s="2"/>
      <c r="R126" s="6">
        <f t="shared" si="91"/>
        <v>0</v>
      </c>
      <c r="S126" s="2"/>
      <c r="T126" s="7">
        <v>1227.08</v>
      </c>
      <c r="U126" s="2"/>
      <c r="V126" s="6">
        <f t="shared" si="92"/>
        <v>2.0464726814876104E-3</v>
      </c>
      <c r="W126" s="2"/>
      <c r="X126" s="7">
        <f t="shared" si="93"/>
        <v>-1227.08</v>
      </c>
      <c r="Y126" s="2"/>
      <c r="Z126" s="6">
        <f t="shared" si="94"/>
        <v>-1</v>
      </c>
    </row>
    <row r="127" spans="1:26" s="24" customFormat="1" hidden="1" outlineLevel="2" x14ac:dyDescent="0.25">
      <c r="A127" s="28"/>
      <c r="B127" s="11" t="str">
        <f>CONCATENATE("          ", "6237", " - ", "JANITORIAL SUPPLIES")</f>
        <v xml:space="preserve">          6237 - JANITORIAL SUPPLIES</v>
      </c>
      <c r="C127" s="11"/>
      <c r="D127" s="7"/>
      <c r="E127" s="2"/>
      <c r="F127" s="6">
        <f t="shared" si="87"/>
        <v>0</v>
      </c>
      <c r="G127" s="2"/>
      <c r="H127" s="7"/>
      <c r="I127" s="2"/>
      <c r="J127" s="6">
        <f t="shared" si="88"/>
        <v>0</v>
      </c>
      <c r="K127" s="2"/>
      <c r="L127" s="7">
        <f t="shared" si="89"/>
        <v>0</v>
      </c>
      <c r="M127" s="2"/>
      <c r="N127" s="6">
        <f t="shared" si="90"/>
        <v>0</v>
      </c>
      <c r="O127" s="11"/>
      <c r="P127" s="7">
        <v>77.17</v>
      </c>
      <c r="Q127" s="2"/>
      <c r="R127" s="6">
        <f t="shared" si="91"/>
        <v>8.6279828033357028E-5</v>
      </c>
      <c r="S127" s="2"/>
      <c r="T127" s="7">
        <v>139.31</v>
      </c>
      <c r="U127" s="2"/>
      <c r="V127" s="6">
        <f t="shared" si="92"/>
        <v>2.3233538910098694E-4</v>
      </c>
      <c r="W127" s="2"/>
      <c r="X127" s="7">
        <f t="shared" si="93"/>
        <v>-62.14</v>
      </c>
      <c r="Y127" s="2"/>
      <c r="Z127" s="6">
        <f t="shared" si="94"/>
        <v>-0.44605555954346421</v>
      </c>
    </row>
    <row r="128" spans="1:26" s="24" customFormat="1" hidden="1" outlineLevel="2" x14ac:dyDescent="0.25">
      <c r="A128" s="28"/>
      <c r="B128" s="11" t="str">
        <f>CONCATENATE("          ", "6241", " - ", "OFFICE EXPENSE")</f>
        <v xml:space="preserve">          6241 - OFFICE EXPENSE</v>
      </c>
      <c r="C128" s="11"/>
      <c r="D128" s="7">
        <v>267.68</v>
      </c>
      <c r="E128" s="2"/>
      <c r="F128" s="6">
        <f t="shared" si="87"/>
        <v>8.6937791670964619E-4</v>
      </c>
      <c r="G128" s="2"/>
      <c r="H128" s="7">
        <v>31.83</v>
      </c>
      <c r="I128" s="2"/>
      <c r="J128" s="6">
        <f t="shared" si="88"/>
        <v>2.7977950948666132E-4</v>
      </c>
      <c r="K128" s="2"/>
      <c r="L128" s="7">
        <f t="shared" si="89"/>
        <v>235.85000000000002</v>
      </c>
      <c r="M128" s="2"/>
      <c r="N128" s="6">
        <f t="shared" si="90"/>
        <v>7.4096764059063789</v>
      </c>
      <c r="O128" s="11"/>
      <c r="P128" s="7">
        <v>493.73</v>
      </c>
      <c r="Q128" s="2"/>
      <c r="R128" s="6">
        <f t="shared" si="91"/>
        <v>5.5201424769870885E-4</v>
      </c>
      <c r="S128" s="2"/>
      <c r="T128" s="7">
        <v>143.32</v>
      </c>
      <c r="U128" s="2"/>
      <c r="V128" s="6">
        <f t="shared" si="92"/>
        <v>2.3902309931773345E-4</v>
      </c>
      <c r="W128" s="2"/>
      <c r="X128" s="7">
        <f t="shared" si="93"/>
        <v>350.41</v>
      </c>
      <c r="Y128" s="2"/>
      <c r="Z128" s="6">
        <f t="shared" si="94"/>
        <v>2.4449483672899808</v>
      </c>
    </row>
    <row r="129" spans="1:26" s="24" customFormat="1" hidden="1" outlineLevel="2" x14ac:dyDescent="0.25">
      <c r="A129" s="28"/>
      <c r="B129" s="11" t="str">
        <f>CONCATENATE("          ", "6247", " - ", "STORE SUPPLIES")</f>
        <v xml:space="preserve">          6247 - STORE SUPPLIES</v>
      </c>
      <c r="C129" s="11"/>
      <c r="D129" s="7">
        <v>57.31</v>
      </c>
      <c r="E129" s="2"/>
      <c r="F129" s="6">
        <f t="shared" si="87"/>
        <v>1.861328765938054E-4</v>
      </c>
      <c r="G129" s="2"/>
      <c r="H129" s="7"/>
      <c r="I129" s="2"/>
      <c r="J129" s="6">
        <f t="shared" si="88"/>
        <v>0</v>
      </c>
      <c r="K129" s="2"/>
      <c r="L129" s="7">
        <f t="shared" si="89"/>
        <v>57.31</v>
      </c>
      <c r="M129" s="2"/>
      <c r="N129" s="6">
        <f t="shared" si="90"/>
        <v>0</v>
      </c>
      <c r="O129" s="11"/>
      <c r="P129" s="7">
        <v>5673.38</v>
      </c>
      <c r="Q129" s="2"/>
      <c r="R129" s="6">
        <f t="shared" si="91"/>
        <v>6.3431158580781015E-3</v>
      </c>
      <c r="S129" s="2"/>
      <c r="T129" s="7"/>
      <c r="U129" s="2"/>
      <c r="V129" s="6">
        <f t="shared" si="92"/>
        <v>0</v>
      </c>
      <c r="W129" s="2"/>
      <c r="X129" s="7">
        <f t="shared" si="93"/>
        <v>5673.38</v>
      </c>
      <c r="Y129" s="2"/>
      <c r="Z129" s="6">
        <f t="shared" si="94"/>
        <v>0</v>
      </c>
    </row>
    <row r="130" spans="1:26" s="27" customFormat="1" outlineLevel="1" collapsed="1" x14ac:dyDescent="0.25">
      <c r="A130" s="29"/>
      <c r="B130" s="14" t="str">
        <f>CONCATENATE("     ","Telephone/Data Lines                              ")</f>
        <v xml:space="preserve">     Telephone/Data Lines                              </v>
      </c>
      <c r="C130" s="14"/>
      <c r="D130" s="1">
        <f>SUM(OSRRefD22_16x_0)</f>
        <v>304.49</v>
      </c>
      <c r="E130" s="1"/>
      <c r="F130" s="5">
        <f t="shared" ref="F130:F135" si="95">IF(D$12=0,0,D130/D$12)</f>
        <v>9.8893037155902645E-4</v>
      </c>
      <c r="G130" s="1"/>
      <c r="H130" s="1">
        <f>SUM(OSRRefH22_16x_0)</f>
        <v>1261.48</v>
      </c>
      <c r="I130" s="1"/>
      <c r="J130" s="5">
        <f t="shared" ref="J130:J135" si="96">IF(H$12=0,0,H130/H$12)</f>
        <v>1.1088163858851195E-2</v>
      </c>
      <c r="K130" s="1"/>
      <c r="L130" s="1">
        <f t="shared" ref="L130:L135" si="97">+D130-H130</f>
        <v>-956.99</v>
      </c>
      <c r="M130" s="1"/>
      <c r="N130" s="5">
        <f t="shared" ref="N130:N135" si="98">IF(H130=0,0,L130/H130)</f>
        <v>-0.75862478992928939</v>
      </c>
      <c r="O130" s="14"/>
      <c r="P130" s="1">
        <f>SUM(OSRRefP22_16x_0)</f>
        <v>1123.67</v>
      </c>
      <c r="Q130" s="1"/>
      <c r="R130" s="5">
        <f t="shared" ref="R130:R135" si="99">IF(P$12=0,0,P130/P$12)</f>
        <v>1.2563179262179902E-3</v>
      </c>
      <c r="S130" s="1"/>
      <c r="T130" s="1">
        <f>SUM(OSRRefT22_16x_0)</f>
        <v>2817.06</v>
      </c>
      <c r="U130" s="1"/>
      <c r="V130" s="5">
        <f t="shared" ref="V130:V135" si="100">IF(T$12=0,0,T130/T$12)</f>
        <v>4.6981747987999874E-3</v>
      </c>
      <c r="W130" s="1"/>
      <c r="X130" s="1">
        <f t="shared" ref="X130:X135" si="101">+P130-T130</f>
        <v>-1693.3899999999999</v>
      </c>
      <c r="Y130" s="1"/>
      <c r="Z130" s="5">
        <f t="shared" ref="Z130:Z135" si="102">IF(T130=0,0,X130/T130)</f>
        <v>-0.60111960696612776</v>
      </c>
    </row>
    <row r="131" spans="1:26" s="24" customFormat="1" hidden="1" outlineLevel="2" x14ac:dyDescent="0.25">
      <c r="A131" s="28"/>
      <c r="B131" s="11" t="str">
        <f>CONCATENATE("          ", "6309", " - ", "TELEPHONE")</f>
        <v xml:space="preserve">          6309 - TELEPHONE</v>
      </c>
      <c r="C131" s="11"/>
      <c r="D131" s="7">
        <v>304.49</v>
      </c>
      <c r="E131" s="2"/>
      <c r="F131" s="6">
        <f t="shared" si="95"/>
        <v>9.8893037155902645E-4</v>
      </c>
      <c r="G131" s="2"/>
      <c r="H131" s="7">
        <v>1261.48</v>
      </c>
      <c r="I131" s="2"/>
      <c r="J131" s="6">
        <f t="shared" si="96"/>
        <v>1.1088163858851195E-2</v>
      </c>
      <c r="K131" s="2"/>
      <c r="L131" s="7">
        <f t="shared" si="97"/>
        <v>-956.99</v>
      </c>
      <c r="M131" s="2"/>
      <c r="N131" s="6">
        <f t="shared" si="98"/>
        <v>-0.75862478992928939</v>
      </c>
      <c r="O131" s="11"/>
      <c r="P131" s="7">
        <v>1123.67</v>
      </c>
      <c r="Q131" s="2"/>
      <c r="R131" s="6">
        <f t="shared" si="99"/>
        <v>1.2563179262179902E-3</v>
      </c>
      <c r="S131" s="2"/>
      <c r="T131" s="7">
        <v>2817.06</v>
      </c>
      <c r="U131" s="2"/>
      <c r="V131" s="6">
        <f t="shared" si="100"/>
        <v>4.6981747987999874E-3</v>
      </c>
      <c r="W131" s="2"/>
      <c r="X131" s="7">
        <f t="shared" si="101"/>
        <v>-1693.3899999999999</v>
      </c>
      <c r="Y131" s="2"/>
      <c r="Z131" s="6">
        <f t="shared" si="102"/>
        <v>-0.60111960696612776</v>
      </c>
    </row>
    <row r="132" spans="1:26" s="27" customFormat="1" outlineLevel="1" collapsed="1" x14ac:dyDescent="0.25">
      <c r="A132" s="29"/>
      <c r="B132" s="14" t="str">
        <f>CONCATENATE("     ","Travel                                            ")</f>
        <v xml:space="preserve">     Travel                                            </v>
      </c>
      <c r="C132" s="14"/>
      <c r="D132" s="1">
        <f>SUM(OSRRefD22_17x_0)</f>
        <v>27.39</v>
      </c>
      <c r="E132" s="1"/>
      <c r="F132" s="5">
        <f t="shared" si="95"/>
        <v>8.8957939101454012E-5</v>
      </c>
      <c r="G132" s="1"/>
      <c r="H132" s="1">
        <f>SUM(OSRRefH22_17x_0)</f>
        <v>0</v>
      </c>
      <c r="I132" s="1"/>
      <c r="J132" s="5">
        <f t="shared" si="96"/>
        <v>0</v>
      </c>
      <c r="K132" s="1"/>
      <c r="L132" s="1">
        <f t="shared" si="97"/>
        <v>27.39</v>
      </c>
      <c r="M132" s="1"/>
      <c r="N132" s="5">
        <f t="shared" si="98"/>
        <v>0</v>
      </c>
      <c r="O132" s="14"/>
      <c r="P132" s="1">
        <f>SUM(OSRRefP22_17x_0)</f>
        <v>215.53</v>
      </c>
      <c r="Q132" s="1"/>
      <c r="R132" s="5">
        <f t="shared" si="99"/>
        <v>2.4097306383347725E-4</v>
      </c>
      <c r="S132" s="1"/>
      <c r="T132" s="1">
        <f>SUM(OSRRefT22_17x_0)</f>
        <v>240.92</v>
      </c>
      <c r="U132" s="1"/>
      <c r="V132" s="5">
        <f t="shared" si="100"/>
        <v>4.0179629561560383E-4</v>
      </c>
      <c r="W132" s="1"/>
      <c r="X132" s="1">
        <f t="shared" si="101"/>
        <v>-25.389999999999986</v>
      </c>
      <c r="Y132" s="1"/>
      <c r="Z132" s="5">
        <f t="shared" si="102"/>
        <v>-0.10538768055786148</v>
      </c>
    </row>
    <row r="133" spans="1:26" s="24" customFormat="1" hidden="1" outlineLevel="2" x14ac:dyDescent="0.25">
      <c r="A133" s="28"/>
      <c r="B133" s="11" t="str">
        <f>CONCATENATE("          ", "6294", " - ", "TRAVEL OPERATIONAL")</f>
        <v xml:space="preserve">          6294 - TRAVEL OPERATIONAL</v>
      </c>
      <c r="C133" s="11"/>
      <c r="D133" s="7">
        <v>27.39</v>
      </c>
      <c r="E133" s="2"/>
      <c r="F133" s="6">
        <f t="shared" si="95"/>
        <v>8.8957939101454012E-5</v>
      </c>
      <c r="G133" s="2"/>
      <c r="H133" s="7"/>
      <c r="I133" s="2"/>
      <c r="J133" s="6">
        <f t="shared" si="96"/>
        <v>0</v>
      </c>
      <c r="K133" s="2"/>
      <c r="L133" s="7">
        <f t="shared" si="97"/>
        <v>27.39</v>
      </c>
      <c r="M133" s="2"/>
      <c r="N133" s="6">
        <f t="shared" si="98"/>
        <v>0</v>
      </c>
      <c r="O133" s="11"/>
      <c r="P133" s="7">
        <v>215.53</v>
      </c>
      <c r="Q133" s="2"/>
      <c r="R133" s="6">
        <f t="shared" si="99"/>
        <v>2.4097306383347725E-4</v>
      </c>
      <c r="S133" s="2"/>
      <c r="T133" s="7">
        <v>240.92</v>
      </c>
      <c r="U133" s="2"/>
      <c r="V133" s="6">
        <f t="shared" si="100"/>
        <v>4.0179629561560383E-4</v>
      </c>
      <c r="W133" s="2"/>
      <c r="X133" s="7">
        <f t="shared" si="101"/>
        <v>-25.389999999999986</v>
      </c>
      <c r="Y133" s="2"/>
      <c r="Z133" s="6">
        <f t="shared" si="102"/>
        <v>-0.10538768055786148</v>
      </c>
    </row>
    <row r="134" spans="1:26" s="27" customFormat="1" outlineLevel="1" collapsed="1" x14ac:dyDescent="0.25">
      <c r="A134" s="29"/>
      <c r="B134" s="14" t="str">
        <f>CONCATENATE("     ","Utilities                                         ")</f>
        <v xml:space="preserve">     Utilities                                         </v>
      </c>
      <c r="C134" s="14"/>
      <c r="D134" s="1">
        <f>SUM(OSRRefD22_18x_0)</f>
        <v>37.6</v>
      </c>
      <c r="E134" s="1"/>
      <c r="F134" s="5">
        <f t="shared" si="95"/>
        <v>1.2211823695562873E-4</v>
      </c>
      <c r="G134" s="1"/>
      <c r="H134" s="1">
        <f>SUM(OSRRefH22_18x_0)</f>
        <v>28.01</v>
      </c>
      <c r="I134" s="1"/>
      <c r="J134" s="5">
        <f t="shared" si="96"/>
        <v>2.4620245242605669E-4</v>
      </c>
      <c r="K134" s="1"/>
      <c r="L134" s="1">
        <f t="shared" si="97"/>
        <v>9.59</v>
      </c>
      <c r="M134" s="1"/>
      <c r="N134" s="5">
        <f t="shared" si="98"/>
        <v>0.34237772224205637</v>
      </c>
      <c r="O134" s="14"/>
      <c r="P134" s="1">
        <f>SUM(OSRRefP22_18x_0)</f>
        <v>111.38</v>
      </c>
      <c r="Q134" s="1"/>
      <c r="R134" s="5">
        <f t="shared" si="99"/>
        <v>1.2452827842886232E-4</v>
      </c>
      <c r="S134" s="1"/>
      <c r="T134" s="1">
        <f>SUM(OSRRefT22_18x_0)</f>
        <v>68.36</v>
      </c>
      <c r="U134" s="1"/>
      <c r="V134" s="5">
        <f t="shared" si="100"/>
        <v>1.1400794773486087E-4</v>
      </c>
      <c r="W134" s="1"/>
      <c r="X134" s="1">
        <f t="shared" si="101"/>
        <v>43.019999999999996</v>
      </c>
      <c r="Y134" s="1"/>
      <c r="Z134" s="5">
        <f t="shared" si="102"/>
        <v>0.62931538911644236</v>
      </c>
    </row>
    <row r="135" spans="1:26" s="24" customFormat="1" hidden="1" outlineLevel="2" x14ac:dyDescent="0.25">
      <c r="A135" s="28"/>
      <c r="B135" s="11" t="str">
        <f>CONCATENATE("          ", "6274", " - ", "UTILITIES")</f>
        <v xml:space="preserve">          6274 - UTILITIES</v>
      </c>
      <c r="C135" s="11"/>
      <c r="D135" s="7">
        <v>37.6</v>
      </c>
      <c r="E135" s="2"/>
      <c r="F135" s="6">
        <f t="shared" si="95"/>
        <v>1.2211823695562873E-4</v>
      </c>
      <c r="G135" s="2"/>
      <c r="H135" s="7">
        <v>28.01</v>
      </c>
      <c r="I135" s="2"/>
      <c r="J135" s="6">
        <f t="shared" si="96"/>
        <v>2.4620245242605669E-4</v>
      </c>
      <c r="K135" s="2"/>
      <c r="L135" s="7">
        <f t="shared" si="97"/>
        <v>9.59</v>
      </c>
      <c r="M135" s="2"/>
      <c r="N135" s="6">
        <f t="shared" si="98"/>
        <v>0.34237772224205637</v>
      </c>
      <c r="O135" s="11"/>
      <c r="P135" s="7">
        <v>111.38</v>
      </c>
      <c r="Q135" s="2"/>
      <c r="R135" s="6">
        <f t="shared" si="99"/>
        <v>1.2452827842886232E-4</v>
      </c>
      <c r="S135" s="2"/>
      <c r="T135" s="7">
        <v>68.36</v>
      </c>
      <c r="U135" s="2"/>
      <c r="V135" s="6">
        <f t="shared" si="100"/>
        <v>1.1400794773486087E-4</v>
      </c>
      <c r="W135" s="2"/>
      <c r="X135" s="7">
        <f t="shared" si="101"/>
        <v>43.019999999999996</v>
      </c>
      <c r="Y135" s="2"/>
      <c r="Z135" s="6">
        <f t="shared" si="102"/>
        <v>0.62931538911644236</v>
      </c>
    </row>
    <row r="136" spans="1:26" s="54" customFormat="1" x14ac:dyDescent="0.25">
      <c r="A136" s="37"/>
      <c r="B136" s="37"/>
      <c r="C136" s="37"/>
      <c r="D136" s="1"/>
      <c r="E136" s="1"/>
      <c r="F136" s="5"/>
      <c r="G136" s="1"/>
      <c r="H136" s="1"/>
      <c r="I136" s="1"/>
      <c r="J136" s="5"/>
      <c r="K136" s="1"/>
      <c r="L136" s="1"/>
      <c r="M136" s="1"/>
      <c r="N136" s="5"/>
      <c r="O136" s="37"/>
      <c r="P136" s="1"/>
      <c r="Q136" s="1"/>
      <c r="R136" s="5"/>
      <c r="S136" s="1"/>
      <c r="T136" s="1"/>
      <c r="U136" s="1"/>
      <c r="V136" s="5"/>
      <c r="W136" s="1"/>
      <c r="X136" s="1"/>
      <c r="Y136" s="1"/>
      <c r="Z136" s="5"/>
    </row>
    <row r="137" spans="1:26" s="23" customFormat="1" collapsed="1" x14ac:dyDescent="0.25">
      <c r="A137" s="10"/>
      <c r="B137" s="26" t="s">
        <v>292</v>
      </c>
      <c r="C137" s="10"/>
      <c r="D137" s="4">
        <f>SUM(OSRRefD25x_0)</f>
        <v>-308.7</v>
      </c>
      <c r="E137" s="4"/>
      <c r="F137" s="12">
        <f t="shared" ref="F137:F139" si="103">IF(D$12=0,0,D137/D$12)</f>
        <v>-1.0026037167075155E-3</v>
      </c>
      <c r="G137" s="4"/>
      <c r="H137" s="4">
        <f>SUM(OSRRefH25x_0)</f>
        <v>0</v>
      </c>
      <c r="I137" s="4"/>
      <c r="J137" s="12">
        <f t="shared" ref="J137:J139" si="104">IF(H$12=0,0,H137/H$12)</f>
        <v>0</v>
      </c>
      <c r="K137" s="4"/>
      <c r="L137" s="4">
        <f t="shared" ref="L137:L139" si="105">+D137-H137</f>
        <v>-308.7</v>
      </c>
      <c r="M137" s="4"/>
      <c r="N137" s="12">
        <f t="shared" ref="N137:N139" si="106">IF(H137=0,0,L137/H137)</f>
        <v>0</v>
      </c>
      <c r="O137" s="10"/>
      <c r="P137" s="4">
        <f>SUM(OSRRefP25x_0)</f>
        <v>91764.32</v>
      </c>
      <c r="Q137" s="4"/>
      <c r="R137" s="12">
        <f t="shared" ref="R137:R139" si="107">IF(P$12=0,0,P137/P$12)</f>
        <v>0.10259699040038804</v>
      </c>
      <c r="S137" s="4"/>
      <c r="T137" s="4">
        <f>SUM(OSRRefT25x_0)</f>
        <v>172008.31</v>
      </c>
      <c r="U137" s="4"/>
      <c r="V137" s="12">
        <f t="shared" ref="V137:V139" si="108">IF(T$12=0,0,T137/T$12)</f>
        <v>0.28686826238212032</v>
      </c>
      <c r="W137" s="4"/>
      <c r="X137" s="4">
        <f t="shared" ref="X137:X139" si="109">+P137-T137</f>
        <v>-80243.989999999991</v>
      </c>
      <c r="Y137" s="4"/>
      <c r="Z137" s="12">
        <f t="shared" ref="Z137:Z139" si="110">IF(T137=0,0,X137/T137)</f>
        <v>-0.4665122865284822</v>
      </c>
    </row>
    <row r="138" spans="1:26" s="24" customFormat="1" hidden="1" outlineLevel="1" x14ac:dyDescent="0.25">
      <c r="A138" s="44"/>
      <c r="B138" s="11" t="str">
        <f>CONCATENATE("          ", "9150", " - ", "MISC. INCOME")</f>
        <v xml:space="preserve">          9150 - MISC. INCOME</v>
      </c>
      <c r="C138" s="11"/>
      <c r="D138" s="2">
        <f>0</f>
        <v>0</v>
      </c>
      <c r="E138" s="2"/>
      <c r="F138" s="19">
        <f t="shared" si="103"/>
        <v>0</v>
      </c>
      <c r="G138" s="2"/>
      <c r="H138" s="2">
        <f t="shared" ref="H138:H139" si="111">0</f>
        <v>0</v>
      </c>
      <c r="I138" s="2"/>
      <c r="J138" s="19">
        <f t="shared" si="104"/>
        <v>0</v>
      </c>
      <c r="K138" s="2"/>
      <c r="L138" s="2">
        <f t="shared" si="105"/>
        <v>0</v>
      </c>
      <c r="M138" s="2"/>
      <c r="N138" s="19">
        <f t="shared" si="106"/>
        <v>0</v>
      </c>
      <c r="O138" s="11"/>
      <c r="P138" s="2">
        <f>--28753.08</f>
        <v>28753.08</v>
      </c>
      <c r="Q138" s="2"/>
      <c r="R138" s="19">
        <f t="shared" si="107"/>
        <v>3.2147347386670432E-2</v>
      </c>
      <c r="S138" s="2"/>
      <c r="T138" s="2">
        <f>--11344.41</f>
        <v>11344.41</v>
      </c>
      <c r="U138" s="2"/>
      <c r="V138" s="19">
        <f t="shared" si="108"/>
        <v>1.8919732334154959E-2</v>
      </c>
      <c r="W138" s="2"/>
      <c r="X138" s="2">
        <f t="shared" si="109"/>
        <v>17408.670000000002</v>
      </c>
      <c r="Y138" s="2"/>
      <c r="Z138" s="19">
        <f t="shared" si="110"/>
        <v>1.5345593115904663</v>
      </c>
    </row>
    <row r="139" spans="1:26" s="24" customFormat="1" hidden="1" outlineLevel="1" x14ac:dyDescent="0.25">
      <c r="A139" s="44"/>
      <c r="B139" s="11" t="str">
        <f>CONCATENATE("          ", "9163", " - ", "MISC. INCOME")</f>
        <v xml:space="preserve">          9163 - MISC. INCOME</v>
      </c>
      <c r="C139" s="11"/>
      <c r="D139" s="2">
        <f>-308.7</f>
        <v>-308.7</v>
      </c>
      <c r="E139" s="2"/>
      <c r="F139" s="19">
        <f t="shared" si="103"/>
        <v>-1.0026037167075155E-3</v>
      </c>
      <c r="G139" s="2"/>
      <c r="H139" s="2">
        <f t="shared" si="111"/>
        <v>0</v>
      </c>
      <c r="I139" s="2"/>
      <c r="J139" s="19">
        <f t="shared" si="104"/>
        <v>0</v>
      </c>
      <c r="K139" s="2"/>
      <c r="L139" s="2">
        <f t="shared" si="105"/>
        <v>-308.7</v>
      </c>
      <c r="M139" s="2"/>
      <c r="N139" s="19">
        <f t="shared" si="106"/>
        <v>0</v>
      </c>
      <c r="O139" s="11"/>
      <c r="P139" s="2">
        <f>--63011.24</f>
        <v>63011.24</v>
      </c>
      <c r="Q139" s="2"/>
      <c r="R139" s="19">
        <f t="shared" si="107"/>
        <v>7.0449643013717603E-2</v>
      </c>
      <c r="S139" s="2"/>
      <c r="T139" s="2">
        <f>--160663.9</f>
        <v>160663.9</v>
      </c>
      <c r="U139" s="2"/>
      <c r="V139" s="19">
        <f t="shared" si="108"/>
        <v>0.26794853004796537</v>
      </c>
      <c r="W139" s="2"/>
      <c r="X139" s="2">
        <f t="shared" si="109"/>
        <v>-97652.66</v>
      </c>
      <c r="Y139" s="2"/>
      <c r="Z139" s="19">
        <f t="shared" si="110"/>
        <v>-0.60780710539206384</v>
      </c>
    </row>
    <row r="140" spans="1:26" x14ac:dyDescent="0.25">
      <c r="A140" s="9"/>
      <c r="B140" s="10"/>
      <c r="C140" s="10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O140" s="10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x14ac:dyDescent="0.25">
      <c r="A141" s="10"/>
      <c r="B141" s="25" t="s">
        <v>276</v>
      </c>
      <c r="C141" s="25"/>
      <c r="D141" s="21">
        <f>+D75-D77+D137</f>
        <v>77111.259999999995</v>
      </c>
      <c r="E141" s="13"/>
      <c r="F141" s="22">
        <f>IF(D$12=0,0,D141/D$12)</f>
        <v>0.2504439127826355</v>
      </c>
      <c r="G141" s="13"/>
      <c r="H141" s="21">
        <f>+H75-H77+H137</f>
        <v>-23672.200000000026</v>
      </c>
      <c r="I141" s="13"/>
      <c r="J141" s="22">
        <f>IF(H$12=0,0,H141/H$12)</f>
        <v>-0.20807403407069278</v>
      </c>
      <c r="K141" s="16"/>
      <c r="L141" s="21">
        <f>+D141-H141</f>
        <v>100783.46000000002</v>
      </c>
      <c r="M141" s="16"/>
      <c r="N141" s="22">
        <f>IF(H141=0,0,L141/H141)</f>
        <v>-4.2574606500451972</v>
      </c>
      <c r="O141" s="26"/>
      <c r="P141" s="21">
        <f>+P75-P77+P137</f>
        <v>297768.58000000019</v>
      </c>
      <c r="Q141" s="13"/>
      <c r="R141" s="22">
        <f>IF(P$12=0,0,P141/P$12)</f>
        <v>0.33291981179392161</v>
      </c>
      <c r="S141" s="13"/>
      <c r="T141" s="21">
        <f>+T75-T77+T137</f>
        <v>202333.28</v>
      </c>
      <c r="U141" s="13"/>
      <c r="V141" s="22">
        <f>IF(T$12=0,0,T141/T$12)</f>
        <v>0.33744297851467187</v>
      </c>
      <c r="W141" s="16"/>
      <c r="X141" s="21">
        <f>+P141-T141</f>
        <v>95435.300000000192</v>
      </c>
      <c r="Y141" s="16"/>
      <c r="Z141" s="22">
        <f>IF(T141=0,0,X141/T141)</f>
        <v>0.47167376518583692</v>
      </c>
    </row>
    <row r="142" spans="1:26" x14ac:dyDescent="0.25">
      <c r="A142" s="9"/>
      <c r="B142" s="10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x14ac:dyDescent="0.25">
      <c r="A143" s="51"/>
      <c r="B143" s="10" t="s">
        <v>127</v>
      </c>
      <c r="C143" s="10"/>
      <c r="D143" s="4">
        <v>23061.8</v>
      </c>
      <c r="E143" s="4"/>
      <c r="F143" s="12">
        <f>IF(D$12=0,0,D143/D$12)</f>
        <v>7.4900700984662727E-2</v>
      </c>
      <c r="G143" s="4"/>
      <c r="H143" s="4">
        <v>29052.76</v>
      </c>
      <c r="I143" s="4"/>
      <c r="J143" s="12">
        <f>IF(H$12=0,0,H143/H$12)</f>
        <v>0.25536811002305038</v>
      </c>
      <c r="K143" s="4"/>
      <c r="L143" s="4">
        <f>+D143-H143</f>
        <v>-5990.9599999999991</v>
      </c>
      <c r="M143" s="4"/>
      <c r="N143" s="12">
        <f>IF(H143=0,0,L143/H143)</f>
        <v>-0.20620966820364053</v>
      </c>
      <c r="O143" s="10"/>
      <c r="P143" s="4">
        <v>110706.82</v>
      </c>
      <c r="Q143" s="4"/>
      <c r="R143" s="12">
        <f>IF(P$12=0,0,P143/P$12)</f>
        <v>0.12377563031903344</v>
      </c>
      <c r="S143" s="4"/>
      <c r="T143" s="4">
        <v>111080.25</v>
      </c>
      <c r="U143" s="4"/>
      <c r="V143" s="12">
        <f>IF(T$12=0,0,T143/T$12)</f>
        <v>0.18525499321789465</v>
      </c>
      <c r="W143" s="4"/>
      <c r="X143" s="4">
        <f>+P143-T143</f>
        <v>-373.42999999999302</v>
      </c>
      <c r="Y143" s="4"/>
      <c r="Z143" s="12">
        <f>IF(T143=0,0,X143/T143)</f>
        <v>-3.3618037409889967E-3</v>
      </c>
    </row>
    <row r="144" spans="1:26" x14ac:dyDescent="0.25">
      <c r="A144" s="9"/>
      <c r="B144" s="10"/>
      <c r="C144" s="10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O144" s="10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ht="15.75" thickBot="1" x14ac:dyDescent="0.3">
      <c r="A145" s="10"/>
      <c r="B145" s="25" t="s">
        <v>125</v>
      </c>
      <c r="C145" s="25"/>
      <c r="D145" s="33">
        <f>+D141-D143</f>
        <v>54049.459999999992</v>
      </c>
      <c r="E145" s="13"/>
      <c r="F145" s="35">
        <f>IF(D$12=0,0,D145/D$12)</f>
        <v>0.17554321179797275</v>
      </c>
      <c r="G145" s="13"/>
      <c r="H145" s="33">
        <f>+H141-H143</f>
        <v>-52724.960000000021</v>
      </c>
      <c r="I145" s="13"/>
      <c r="J145" s="35">
        <f>IF(H$12=0,0,H145/H$12)</f>
        <v>-0.46344214409374318</v>
      </c>
      <c r="K145" s="16"/>
      <c r="L145" s="33">
        <f>D145-H145</f>
        <v>106774.42000000001</v>
      </c>
      <c r="M145" s="16"/>
      <c r="N145" s="35">
        <f>IF(H145=0,0,L145/H145)</f>
        <v>-2.0251209294421462</v>
      </c>
      <c r="O145" s="26"/>
      <c r="P145" s="33">
        <f>+P141-P143</f>
        <v>187061.76000000018</v>
      </c>
      <c r="Q145" s="13"/>
      <c r="R145" s="35">
        <f>IF(P$12=0,0,P145/P$12)</f>
        <v>0.20914418147488817</v>
      </c>
      <c r="S145" s="13"/>
      <c r="T145" s="33">
        <f>+T141-T143</f>
        <v>91253.03</v>
      </c>
      <c r="U145" s="13"/>
      <c r="V145" s="35">
        <f>IF(T$12=0,0,T145/T$12)</f>
        <v>0.15218798529677721</v>
      </c>
      <c r="W145" s="16"/>
      <c r="X145" s="33">
        <f>P145-T145</f>
        <v>95808.730000000185</v>
      </c>
      <c r="Y145" s="16"/>
      <c r="Z145" s="35">
        <f>IF(T145=0,0,X145/T145)</f>
        <v>1.049923821707621</v>
      </c>
    </row>
    <row r="146" spans="1:26" ht="15.75" thickTop="1" x14ac:dyDescent="0.25">
      <c r="A146" s="9"/>
      <c r="B146" s="9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x14ac:dyDescent="0.25">
      <c r="A147" s="9"/>
      <c r="B147" s="9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ht="15.75" thickBot="1" x14ac:dyDescent="0.3">
      <c r="A148" s="10"/>
      <c r="B148" s="25" t="s">
        <v>293</v>
      </c>
      <c r="C148" s="25"/>
      <c r="D148" s="31">
        <f>SUM(D145:D147)</f>
        <v>54049.459999999992</v>
      </c>
      <c r="E148" s="13"/>
      <c r="F148" s="32">
        <f>IF(D$12=0,0,D148/D$12)</f>
        <v>0.17554321179797275</v>
      </c>
      <c r="G148" s="13"/>
      <c r="H148" s="31">
        <f>SUM(H145:H147)</f>
        <v>-52724.960000000021</v>
      </c>
      <c r="I148" s="13"/>
      <c r="J148" s="32">
        <f>IF(H$12=0,0,H148/H$12)</f>
        <v>-0.46344214409374318</v>
      </c>
      <c r="K148" s="16"/>
      <c r="L148" s="31">
        <f>+D148-H148</f>
        <v>106774.42000000001</v>
      </c>
      <c r="M148" s="16"/>
      <c r="N148" s="32">
        <f>IF(H148=0,0,L148/H148)</f>
        <v>-2.0251209294421462</v>
      </c>
      <c r="O148" s="26"/>
      <c r="P148" s="31">
        <f>SUM(P145:P147)</f>
        <v>187061.76000000018</v>
      </c>
      <c r="Q148" s="13"/>
      <c r="R148" s="32">
        <f>IF(P$12=0,0,P148/P$12)</f>
        <v>0.20914418147488817</v>
      </c>
      <c r="S148" s="13"/>
      <c r="T148" s="31">
        <f>SUM(T145:T147)</f>
        <v>91253.03</v>
      </c>
      <c r="U148" s="13"/>
      <c r="V148" s="32">
        <f>IF(T$12=0,0,T148/T$12)</f>
        <v>0.15218798529677721</v>
      </c>
      <c r="W148" s="16"/>
      <c r="X148" s="31">
        <f>+P148-T148</f>
        <v>95808.730000000185</v>
      </c>
      <c r="Y148" s="16"/>
      <c r="Z148" s="32">
        <f>IF(T148=0,0,X148/T148)</f>
        <v>1.049923821707621</v>
      </c>
    </row>
    <row r="149" spans="1:26" ht="15.75" thickTop="1" x14ac:dyDescent="0.25">
      <c r="A149" s="9"/>
      <c r="C149" s="9"/>
      <c r="D149" s="18"/>
      <c r="E149" s="18"/>
      <c r="G149" s="18"/>
      <c r="H149" s="18"/>
      <c r="I149" s="18"/>
      <c r="J149" s="42"/>
      <c r="K149" s="18"/>
      <c r="L149" s="18"/>
      <c r="M149" s="18"/>
      <c r="P149" s="18"/>
      <c r="Q149" s="18"/>
      <c r="R149" s="42"/>
      <c r="S149" s="18"/>
      <c r="T149" s="18"/>
      <c r="U149" s="18"/>
      <c r="V149" s="42"/>
      <c r="W149" s="18"/>
      <c r="X149" s="18"/>
    </row>
    <row r="150" spans="1:26" x14ac:dyDescent="0.25">
      <c r="A150" s="9"/>
      <c r="B150" s="58">
        <v>44481.985628969909</v>
      </c>
      <c r="D150" s="18"/>
      <c r="E150" s="18"/>
      <c r="G150" s="18"/>
      <c r="H150" s="18"/>
      <c r="I150" s="18"/>
      <c r="J150" s="42"/>
      <c r="K150" s="18"/>
      <c r="L150" s="18"/>
      <c r="M150" s="18"/>
      <c r="P150" s="18"/>
      <c r="Q150" s="18"/>
      <c r="R150" s="42"/>
      <c r="S150" s="18"/>
      <c r="T150" s="18"/>
      <c r="U150" s="18"/>
      <c r="V150" s="42"/>
      <c r="W150" s="18"/>
      <c r="X150" s="18"/>
    </row>
    <row r="151" spans="1:26" x14ac:dyDescent="0.25">
      <c r="A151" s="9"/>
      <c r="B151" s="53" t="s">
        <v>56</v>
      </c>
      <c r="D151" s="18"/>
      <c r="E151" s="18"/>
      <c r="G151" s="18"/>
      <c r="H151" s="18"/>
      <c r="I151" s="18"/>
      <c r="J151" s="42"/>
      <c r="K151" s="18"/>
      <c r="L151" s="18"/>
      <c r="M151" s="18"/>
      <c r="P151" s="18"/>
      <c r="Q151" s="18"/>
      <c r="R151" s="42"/>
      <c r="S151" s="18"/>
      <c r="T151" s="18"/>
      <c r="U151" s="18"/>
      <c r="V151" s="42"/>
      <c r="W151" s="18"/>
      <c r="X151" s="18"/>
    </row>
    <row r="152" spans="1:26" x14ac:dyDescent="0.25">
      <c r="A152" s="9"/>
      <c r="B152" s="52"/>
      <c r="D152" s="18"/>
      <c r="E152" s="18"/>
      <c r="G152" s="18"/>
      <c r="H152" s="18"/>
      <c r="I152" s="18"/>
      <c r="J152" s="42"/>
      <c r="K152" s="18"/>
      <c r="L152" s="18"/>
      <c r="M152" s="18"/>
      <c r="P152" s="18"/>
      <c r="Q152" s="18"/>
      <c r="R152" s="42"/>
      <c r="S152" s="18"/>
      <c r="T152" s="18"/>
      <c r="U152" s="18"/>
      <c r="V152" s="42"/>
      <c r="W152" s="18"/>
      <c r="X152" s="18"/>
    </row>
    <row r="153" spans="1:26" x14ac:dyDescent="0.25">
      <c r="D153" s="18"/>
      <c r="E153" s="18"/>
      <c r="G153" s="18"/>
      <c r="H153" s="18"/>
      <c r="I153" s="18"/>
      <c r="J153" s="42"/>
      <c r="K153" s="18"/>
      <c r="L153" s="18"/>
      <c r="M153" s="18"/>
      <c r="P153" s="18"/>
      <c r="Q153" s="18"/>
      <c r="R153" s="42"/>
      <c r="S153" s="18"/>
      <c r="T153" s="18"/>
      <c r="U153" s="18"/>
      <c r="V153" s="42"/>
      <c r="W153" s="18"/>
      <c r="X153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</sheetPr>
  <dimension ref="A2:Z1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","315", " - ", "Bookstore Retail")</f>
        <v>Department 315 - Bookstore Retail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285269.82</v>
      </c>
      <c r="E12" s="4"/>
      <c r="F12" s="12"/>
      <c r="G12" s="4"/>
      <c r="H12" s="4">
        <f>SUM(OSRRefH13x_0)</f>
        <v>93801.37000000001</v>
      </c>
      <c r="I12" s="4"/>
      <c r="J12" s="12"/>
      <c r="K12" s="4"/>
      <c r="L12" s="4">
        <f t="shared" ref="L12:L51" si="0">+D12-H12</f>
        <v>191468.45</v>
      </c>
      <c r="M12" s="4"/>
      <c r="N12" s="12">
        <f t="shared" ref="N12:N51" si="1">IF(H12=0,0,L12/H12)</f>
        <v>2.0412116582092565</v>
      </c>
      <c r="O12" s="10"/>
      <c r="P12" s="4">
        <f>SUM(OSRRefP13x_0)</f>
        <v>804940.76</v>
      </c>
      <c r="Q12" s="4"/>
      <c r="R12" s="12"/>
      <c r="S12" s="4"/>
      <c r="T12" s="4">
        <f>SUM(OSRRefT13x_0)</f>
        <v>529963.44000000006</v>
      </c>
      <c r="U12" s="4"/>
      <c r="V12" s="12"/>
      <c r="W12" s="4"/>
      <c r="X12" s="4">
        <f t="shared" ref="X12:X51" si="2">+P12-T12</f>
        <v>274977.31999999995</v>
      </c>
      <c r="Y12" s="4"/>
      <c r="Z12" s="12">
        <f t="shared" ref="Z12:Z51" si="3">IF(T12=0,0,X12/T12)</f>
        <v>0.51886092368937731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--247528.61</f>
        <v>247528.61</v>
      </c>
      <c r="E13" s="2"/>
      <c r="F13" s="19"/>
      <c r="G13" s="2"/>
      <c r="H13" s="2">
        <f>-7132.78</f>
        <v>-7132.78</v>
      </c>
      <c r="I13" s="2"/>
      <c r="J13" s="19"/>
      <c r="K13" s="2"/>
      <c r="L13" s="2">
        <f t="shared" si="0"/>
        <v>254661.38999999998</v>
      </c>
      <c r="M13" s="2"/>
      <c r="N13" s="19">
        <f t="shared" si="1"/>
        <v>-35.702964342093829</v>
      </c>
      <c r="O13" s="11"/>
      <c r="P13" s="2">
        <f>--743004.26</f>
        <v>743004.26</v>
      </c>
      <c r="Q13" s="2"/>
      <c r="R13" s="19"/>
      <c r="S13" s="2"/>
      <c r="T13" s="2">
        <f>-29335.54</f>
        <v>-29335.54</v>
      </c>
      <c r="U13" s="2"/>
      <c r="V13" s="19"/>
      <c r="W13" s="2"/>
      <c r="X13" s="2">
        <f t="shared" si="2"/>
        <v>772339.8</v>
      </c>
      <c r="Y13" s="2"/>
      <c r="Z13" s="19">
        <f t="shared" si="3"/>
        <v>-26.327785341602713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4" si="4"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24" si="5">0</f>
        <v>0</v>
      </c>
      <c r="Q14" s="2"/>
      <c r="R14" s="19"/>
      <c r="S14" s="2"/>
      <c r="T14" s="2">
        <f>--221.99</f>
        <v>221.99</v>
      </c>
      <c r="U14" s="2"/>
      <c r="V14" s="19"/>
      <c r="W14" s="2"/>
      <c r="X14" s="2">
        <f t="shared" si="2"/>
        <v>-221.99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--6169.97</f>
        <v>6169.97</v>
      </c>
      <c r="I15" s="2"/>
      <c r="J15" s="19"/>
      <c r="K15" s="2"/>
      <c r="L15" s="2">
        <f t="shared" si="0"/>
        <v>-6169.97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--24673.17</f>
        <v>24673.17</v>
      </c>
      <c r="U15" s="2"/>
      <c r="V15" s="19"/>
      <c r="W15" s="2"/>
      <c r="X15" s="2">
        <f t="shared" si="2"/>
        <v>-24673.17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--19.85</f>
        <v>19.850000000000001</v>
      </c>
      <c r="U16" s="2"/>
      <c r="V16" s="19"/>
      <c r="W16" s="2"/>
      <c r="X16" s="2">
        <f t="shared" si="2"/>
        <v>-19.850000000000001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--441.57</f>
        <v>441.57</v>
      </c>
      <c r="I17" s="2"/>
      <c r="J17" s="19"/>
      <c r="K17" s="2"/>
      <c r="L17" s="2">
        <f t="shared" si="0"/>
        <v>-441.57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--868.79</f>
        <v>868.79</v>
      </c>
      <c r="U17" s="2"/>
      <c r="V17" s="19"/>
      <c r="W17" s="2"/>
      <c r="X17" s="2">
        <f t="shared" si="2"/>
        <v>-868.79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--6.78</f>
        <v>6.78</v>
      </c>
      <c r="U18" s="2"/>
      <c r="V18" s="19"/>
      <c r="W18" s="2"/>
      <c r="X18" s="2">
        <f t="shared" si="2"/>
        <v>-6.78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 t="shared" si="4"/>
        <v>0</v>
      </c>
      <c r="E19" s="2"/>
      <c r="F19" s="19"/>
      <c r="G19" s="2"/>
      <c r="H19" s="2">
        <f>--62893.01</f>
        <v>62893.01</v>
      </c>
      <c r="I19" s="2"/>
      <c r="J19" s="19"/>
      <c r="K19" s="2"/>
      <c r="L19" s="2">
        <f t="shared" si="0"/>
        <v>-62893.01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--271385.29</f>
        <v>271385.28999999998</v>
      </c>
      <c r="U19" s="2"/>
      <c r="V19" s="19"/>
      <c r="W19" s="2"/>
      <c r="X19" s="2">
        <f t="shared" si="2"/>
        <v>-271385.28999999998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 t="shared" si="4"/>
        <v>0</v>
      </c>
      <c r="E20" s="2"/>
      <c r="F20" s="19"/>
      <c r="G20" s="2"/>
      <c r="H20" s="2">
        <f>--16442.34</f>
        <v>16442.34</v>
      </c>
      <c r="I20" s="2"/>
      <c r="J20" s="19"/>
      <c r="K20" s="2"/>
      <c r="L20" s="2">
        <f t="shared" si="0"/>
        <v>-16442.34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--69286.5</f>
        <v>69286.5</v>
      </c>
      <c r="U20" s="2"/>
      <c r="V20" s="19"/>
      <c r="W20" s="2"/>
      <c r="X20" s="2">
        <f t="shared" si="2"/>
        <v>-69286.5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 t="shared" si="4"/>
        <v>0</v>
      </c>
      <c r="E21" s="2"/>
      <c r="F21" s="19"/>
      <c r="G21" s="2"/>
      <c r="H21" s="2">
        <f>--6088.88</f>
        <v>6088.88</v>
      </c>
      <c r="I21" s="2"/>
      <c r="J21" s="19"/>
      <c r="K21" s="2"/>
      <c r="L21" s="2">
        <f t="shared" si="0"/>
        <v>-6088.88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--34208.22</f>
        <v>34208.22</v>
      </c>
      <c r="U21" s="2"/>
      <c r="V21" s="19"/>
      <c r="W21" s="2"/>
      <c r="X21" s="2">
        <f t="shared" si="2"/>
        <v>-34208.22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 t="shared" si="4"/>
        <v>0</v>
      </c>
      <c r="E22" s="2"/>
      <c r="F22" s="19"/>
      <c r="G22" s="2"/>
      <c r="H22" s="2">
        <f>--2554.77</f>
        <v>2554.77</v>
      </c>
      <c r="I22" s="2"/>
      <c r="J22" s="19"/>
      <c r="K22" s="2"/>
      <c r="L22" s="2">
        <f t="shared" si="0"/>
        <v>-2554.77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--9155.77</f>
        <v>9155.77</v>
      </c>
      <c r="U22" s="2"/>
      <c r="V22" s="19"/>
      <c r="W22" s="2"/>
      <c r="X22" s="2">
        <f t="shared" si="2"/>
        <v>-9155.77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 t="shared" si="4"/>
        <v>0</v>
      </c>
      <c r="E23" s="2"/>
      <c r="F23" s="19"/>
      <c r="G23" s="2"/>
      <c r="H23" s="2">
        <f>--2671.93</f>
        <v>2671.93</v>
      </c>
      <c r="I23" s="2"/>
      <c r="J23" s="19"/>
      <c r="K23" s="2"/>
      <c r="L23" s="2">
        <f t="shared" si="0"/>
        <v>-2671.93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--10549.05</f>
        <v>10549.05</v>
      </c>
      <c r="U23" s="2"/>
      <c r="V23" s="19"/>
      <c r="W23" s="2"/>
      <c r="X23" s="2">
        <f t="shared" si="2"/>
        <v>-10549.05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 t="shared" si="4"/>
        <v>0</v>
      </c>
      <c r="E24" s="2"/>
      <c r="F24" s="19"/>
      <c r="G24" s="2"/>
      <c r="H24" s="2">
        <f>--2540.46</f>
        <v>2540.46</v>
      </c>
      <c r="I24" s="2"/>
      <c r="J24" s="19"/>
      <c r="K24" s="2"/>
      <c r="L24" s="2">
        <f t="shared" si="0"/>
        <v>-2540.46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--91971.54</f>
        <v>91971.54</v>
      </c>
      <c r="U24" s="2"/>
      <c r="V24" s="19"/>
      <c r="W24" s="2"/>
      <c r="X24" s="2">
        <f t="shared" si="2"/>
        <v>-91971.54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"4100", " - ", "NON-TAXABLE SALES")</f>
        <v xml:space="preserve">          4100 - NON-TAXABLE SALES</v>
      </c>
      <c r="C25" s="11"/>
      <c r="D25" s="2">
        <f>--48110.96</f>
        <v>48110.96</v>
      </c>
      <c r="E25" s="2"/>
      <c r="F25" s="19"/>
      <c r="G25" s="2"/>
      <c r="H25" s="2">
        <f t="shared" ref="H25:H26" si="6">0</f>
        <v>0</v>
      </c>
      <c r="I25" s="2"/>
      <c r="J25" s="19"/>
      <c r="K25" s="2"/>
      <c r="L25" s="2">
        <f t="shared" si="0"/>
        <v>48110.96</v>
      </c>
      <c r="M25" s="2"/>
      <c r="N25" s="19">
        <f t="shared" si="1"/>
        <v>0</v>
      </c>
      <c r="O25" s="11"/>
      <c r="P25" s="2">
        <f>--83384.54</f>
        <v>83384.539999999994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83384.539999999994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"4126", " - ", "NON-TAXABLE SALES-WRITING INST")</f>
        <v xml:space="preserve">          4126 - NON-TAXABLE SALES-WRITING INST</v>
      </c>
      <c r="C26" s="11"/>
      <c r="D26" s="2">
        <f t="shared" ref="D26:D38" si="7">0</f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38" si="8">0</f>
        <v>0</v>
      </c>
      <c r="Q26" s="2"/>
      <c r="R26" s="19"/>
      <c r="S26" s="2"/>
      <c r="T26" s="2">
        <f>--52.68</f>
        <v>52.68</v>
      </c>
      <c r="U26" s="2"/>
      <c r="V26" s="19"/>
      <c r="W26" s="2"/>
      <c r="X26" s="2">
        <f t="shared" si="2"/>
        <v>-52.68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"4127", " - ", "NON-TAXABLE SALES-SCHOOL SUPPL")</f>
        <v xml:space="preserve">          4127 - NON-TAXABLE SALES-SCHOOL SUPPL</v>
      </c>
      <c r="C27" s="11"/>
      <c r="D27" s="2">
        <f t="shared" si="7"/>
        <v>0</v>
      </c>
      <c r="E27" s="2"/>
      <c r="F27" s="19"/>
      <c r="G27" s="2"/>
      <c r="H27" s="2">
        <f>--810.33</f>
        <v>810.33</v>
      </c>
      <c r="I27" s="2"/>
      <c r="J27" s="19"/>
      <c r="K27" s="2"/>
      <c r="L27" s="2">
        <f t="shared" si="0"/>
        <v>-810.33</v>
      </c>
      <c r="M27" s="2"/>
      <c r="N27" s="19">
        <f t="shared" si="1"/>
        <v>-1</v>
      </c>
      <c r="O27" s="11"/>
      <c r="P27" s="2">
        <f t="shared" si="8"/>
        <v>0</v>
      </c>
      <c r="Q27" s="2"/>
      <c r="R27" s="19"/>
      <c r="S27" s="2"/>
      <c r="T27" s="2">
        <f>--2670.74</f>
        <v>2670.74</v>
      </c>
      <c r="U27" s="2"/>
      <c r="V27" s="19"/>
      <c r="W27" s="2"/>
      <c r="X27" s="2">
        <f t="shared" si="2"/>
        <v>-2670.74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 t="shared" si="7"/>
        <v>0</v>
      </c>
      <c r="E28" s="2"/>
      <c r="F28" s="19"/>
      <c r="G28" s="2"/>
      <c r="H28" s="2">
        <f>--911.18</f>
        <v>911.18</v>
      </c>
      <c r="I28" s="2"/>
      <c r="J28" s="19"/>
      <c r="K28" s="2"/>
      <c r="L28" s="2">
        <f t="shared" si="0"/>
        <v>-911.18</v>
      </c>
      <c r="M28" s="2"/>
      <c r="N28" s="19">
        <f t="shared" si="1"/>
        <v>-1</v>
      </c>
      <c r="O28" s="11"/>
      <c r="P28" s="2">
        <f t="shared" si="8"/>
        <v>0</v>
      </c>
      <c r="Q28" s="2"/>
      <c r="R28" s="19"/>
      <c r="S28" s="2"/>
      <c r="T28" s="2">
        <f>--2148.76</f>
        <v>2148.7600000000002</v>
      </c>
      <c r="U28" s="2"/>
      <c r="V28" s="19"/>
      <c r="W28" s="2"/>
      <c r="X28" s="2">
        <f t="shared" si="2"/>
        <v>-2148.7600000000002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si="7"/>
        <v>0</v>
      </c>
      <c r="E29" s="2"/>
      <c r="F29" s="19"/>
      <c r="G29" s="2"/>
      <c r="H29" s="2">
        <f t="shared" ref="H29:H32" si="9"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8"/>
        <v>0</v>
      </c>
      <c r="Q29" s="2"/>
      <c r="R29" s="19"/>
      <c r="S29" s="2"/>
      <c r="T29" s="2">
        <f>--22.49</f>
        <v>22.49</v>
      </c>
      <c r="U29" s="2"/>
      <c r="V29" s="19"/>
      <c r="W29" s="2"/>
      <c r="X29" s="2">
        <f t="shared" si="2"/>
        <v>-22.49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7"/>
        <v>0</v>
      </c>
      <c r="E30" s="2"/>
      <c r="F30" s="19"/>
      <c r="G30" s="2"/>
      <c r="H30" s="2">
        <f t="shared" si="9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8"/>
        <v>0</v>
      </c>
      <c r="Q30" s="2"/>
      <c r="R30" s="19"/>
      <c r="S30" s="2"/>
      <c r="T30" s="2">
        <f>--80.71</f>
        <v>80.709999999999994</v>
      </c>
      <c r="U30" s="2"/>
      <c r="V30" s="19"/>
      <c r="W30" s="2"/>
      <c r="X30" s="2">
        <f t="shared" si="2"/>
        <v>-80.709999999999994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7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8"/>
        <v>0</v>
      </c>
      <c r="Q31" s="2"/>
      <c r="R31" s="19"/>
      <c r="S31" s="2"/>
      <c r="T31" s="2">
        <f>--45.53</f>
        <v>45.53</v>
      </c>
      <c r="U31" s="2"/>
      <c r="V31" s="19"/>
      <c r="W31" s="2"/>
      <c r="X31" s="2">
        <f t="shared" si="2"/>
        <v>-45.53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7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8"/>
        <v>0</v>
      </c>
      <c r="Q32" s="2"/>
      <c r="R32" s="19"/>
      <c r="S32" s="2"/>
      <c r="T32" s="2">
        <f>--59.25</f>
        <v>59.25</v>
      </c>
      <c r="U32" s="2"/>
      <c r="V32" s="19"/>
      <c r="W32" s="2"/>
      <c r="X32" s="2">
        <f t="shared" si="2"/>
        <v>-59.25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 t="shared" si="7"/>
        <v>0</v>
      </c>
      <c r="E33" s="2"/>
      <c r="F33" s="19"/>
      <c r="G33" s="2"/>
      <c r="H33" s="2">
        <f>--3332.21</f>
        <v>3332.21</v>
      </c>
      <c r="I33" s="2"/>
      <c r="J33" s="19"/>
      <c r="K33" s="2"/>
      <c r="L33" s="2">
        <f t="shared" si="0"/>
        <v>-3332.21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--17361.51</f>
        <v>17361.509999999998</v>
      </c>
      <c r="U33" s="2"/>
      <c r="V33" s="19"/>
      <c r="W33" s="2"/>
      <c r="X33" s="2">
        <f t="shared" si="2"/>
        <v>-17361.509999999998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 t="shared" si="7"/>
        <v>0</v>
      </c>
      <c r="E34" s="2"/>
      <c r="F34" s="19"/>
      <c r="G34" s="2"/>
      <c r="H34" s="2">
        <f>--555.74</f>
        <v>555.74</v>
      </c>
      <c r="I34" s="2"/>
      <c r="J34" s="19"/>
      <c r="K34" s="2"/>
      <c r="L34" s="2">
        <f t="shared" si="0"/>
        <v>-555.74</v>
      </c>
      <c r="M34" s="2"/>
      <c r="N34" s="19">
        <f t="shared" si="1"/>
        <v>-1</v>
      </c>
      <c r="O34" s="11"/>
      <c r="P34" s="2">
        <f t="shared" si="8"/>
        <v>0</v>
      </c>
      <c r="Q34" s="2"/>
      <c r="R34" s="19"/>
      <c r="S34" s="2"/>
      <c r="T34" s="2">
        <f>--2487.49</f>
        <v>2487.4899999999998</v>
      </c>
      <c r="U34" s="2"/>
      <c r="V34" s="19"/>
      <c r="W34" s="2"/>
      <c r="X34" s="2">
        <f t="shared" si="2"/>
        <v>-2487.4899999999998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 t="shared" si="7"/>
        <v>0</v>
      </c>
      <c r="E35" s="2"/>
      <c r="F35" s="19"/>
      <c r="G35" s="2"/>
      <c r="H35" s="2">
        <f>--30.16</f>
        <v>30.16</v>
      </c>
      <c r="I35" s="2"/>
      <c r="J35" s="19"/>
      <c r="K35" s="2"/>
      <c r="L35" s="2">
        <f t="shared" si="0"/>
        <v>-30.16</v>
      </c>
      <c r="M35" s="2"/>
      <c r="N35" s="19">
        <f t="shared" si="1"/>
        <v>-1</v>
      </c>
      <c r="O35" s="11"/>
      <c r="P35" s="2">
        <f t="shared" si="8"/>
        <v>0</v>
      </c>
      <c r="Q35" s="2"/>
      <c r="R35" s="19"/>
      <c r="S35" s="2"/>
      <c r="T35" s="2">
        <f>--1003.75</f>
        <v>1003.75</v>
      </c>
      <c r="U35" s="2"/>
      <c r="V35" s="19"/>
      <c r="W35" s="2"/>
      <c r="X35" s="2">
        <f t="shared" si="2"/>
        <v>-1003.75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 t="shared" si="7"/>
        <v>0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si="8"/>
        <v>0</v>
      </c>
      <c r="Q36" s="2"/>
      <c r="R36" s="19"/>
      <c r="S36" s="2"/>
      <c r="T36" s="2">
        <f>--19.98</f>
        <v>19.98</v>
      </c>
      <c r="U36" s="2"/>
      <c r="V36" s="19"/>
      <c r="W36" s="2"/>
      <c r="X36" s="2">
        <f t="shared" si="2"/>
        <v>-19.98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 t="shared" si="7"/>
        <v>0</v>
      </c>
      <c r="E37" s="2"/>
      <c r="F37" s="19"/>
      <c r="G37" s="2"/>
      <c r="H37" s="2">
        <f>--59.95</f>
        <v>59.95</v>
      </c>
      <c r="I37" s="2"/>
      <c r="J37" s="19"/>
      <c r="K37" s="2"/>
      <c r="L37" s="2">
        <f t="shared" si="0"/>
        <v>-59.95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--215.75</f>
        <v>215.75</v>
      </c>
      <c r="U37" s="2"/>
      <c r="V37" s="19"/>
      <c r="W37" s="2"/>
      <c r="X37" s="2">
        <f t="shared" si="2"/>
        <v>-215.75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 t="shared" si="7"/>
        <v>0</v>
      </c>
      <c r="E38" s="2"/>
      <c r="F38" s="19"/>
      <c r="G38" s="2"/>
      <c r="H38" s="2">
        <f t="shared" ref="H38:H40" si="10"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 t="shared" si="8"/>
        <v>0</v>
      </c>
      <c r="Q38" s="2"/>
      <c r="R38" s="19"/>
      <c r="S38" s="2"/>
      <c r="T38" s="2">
        <f>--35839</f>
        <v>35839</v>
      </c>
      <c r="U38" s="2"/>
      <c r="V38" s="19"/>
      <c r="W38" s="2"/>
      <c r="X38" s="2">
        <f t="shared" si="2"/>
        <v>-35839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"4200", " - ", "TAXABLE RETURNS")</f>
        <v xml:space="preserve">          4200 - TAXABLE RETURNS</v>
      </c>
      <c r="C39" s="11"/>
      <c r="D39" s="2">
        <f>-10028.97</f>
        <v>-10028.969999999999</v>
      </c>
      <c r="E39" s="2"/>
      <c r="F39" s="19"/>
      <c r="G39" s="2"/>
      <c r="H39" s="2">
        <f t="shared" si="10"/>
        <v>0</v>
      </c>
      <c r="I39" s="2"/>
      <c r="J39" s="19"/>
      <c r="K39" s="2"/>
      <c r="L39" s="2">
        <f t="shared" si="0"/>
        <v>-10028.969999999999</v>
      </c>
      <c r="M39" s="2"/>
      <c r="N39" s="19">
        <f t="shared" si="1"/>
        <v>0</v>
      </c>
      <c r="O39" s="11"/>
      <c r="P39" s="2">
        <f>-20889.06</f>
        <v>-20889.060000000001</v>
      </c>
      <c r="Q39" s="2"/>
      <c r="R39" s="19"/>
      <c r="S39" s="2"/>
      <c r="T39" s="2">
        <f>0</f>
        <v>0</v>
      </c>
      <c r="U39" s="2"/>
      <c r="V39" s="19"/>
      <c r="W39" s="2"/>
      <c r="X39" s="2">
        <f t="shared" si="2"/>
        <v>-20889.060000000001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"4226", " - ", "SALES RETURN TAXABLE-WRITING I")</f>
        <v xml:space="preserve">          4226 - SALES RETURN TAXABLE-WRITING I</v>
      </c>
      <c r="C40" s="11"/>
      <c r="D40" s="2">
        <f t="shared" ref="D40:D47" si="11">0</f>
        <v>0</v>
      </c>
      <c r="E40" s="2"/>
      <c r="F40" s="19"/>
      <c r="G40" s="2"/>
      <c r="H40" s="2">
        <f t="shared" si="10"/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 t="shared" ref="P40:P47" si="12">0</f>
        <v>0</v>
      </c>
      <c r="Q40" s="2"/>
      <c r="R40" s="19"/>
      <c r="S40" s="2"/>
      <c r="T40" s="2">
        <f>-6.38</f>
        <v>-6.38</v>
      </c>
      <c r="U40" s="2"/>
      <c r="V40" s="19"/>
      <c r="W40" s="2"/>
      <c r="X40" s="2">
        <f t="shared" si="2"/>
        <v>6.38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"4227", " - ", "SALES RETURN TAXABLE-SCHOOL SU")</f>
        <v xml:space="preserve">          4227 - SALES RETURN TAXABLE-SCHOOL SU</v>
      </c>
      <c r="C41" s="11"/>
      <c r="D41" s="2">
        <f t="shared" si="11"/>
        <v>0</v>
      </c>
      <c r="E41" s="2"/>
      <c r="F41" s="19"/>
      <c r="G41" s="2"/>
      <c r="H41" s="2">
        <f>-132.71</f>
        <v>-132.71</v>
      </c>
      <c r="I41" s="2"/>
      <c r="J41" s="19"/>
      <c r="K41" s="2"/>
      <c r="L41" s="2">
        <f t="shared" si="0"/>
        <v>132.71</v>
      </c>
      <c r="M41" s="2"/>
      <c r="N41" s="19">
        <f t="shared" si="1"/>
        <v>-1</v>
      </c>
      <c r="O41" s="11"/>
      <c r="P41" s="2">
        <f t="shared" si="12"/>
        <v>0</v>
      </c>
      <c r="Q41" s="2"/>
      <c r="R41" s="19"/>
      <c r="S41" s="2"/>
      <c r="T41" s="2">
        <f>-378.7</f>
        <v>-378.7</v>
      </c>
      <c r="U41" s="2"/>
      <c r="V41" s="19"/>
      <c r="W41" s="2"/>
      <c r="X41" s="2">
        <f t="shared" si="2"/>
        <v>378.7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 t="shared" si="11"/>
        <v>0</v>
      </c>
      <c r="E42" s="2"/>
      <c r="F42" s="19"/>
      <c r="G42" s="2"/>
      <c r="H42" s="2">
        <f>-2999.36</f>
        <v>-2999.36</v>
      </c>
      <c r="I42" s="2"/>
      <c r="J42" s="19"/>
      <c r="K42" s="2"/>
      <c r="L42" s="2">
        <f t="shared" si="0"/>
        <v>2999.36</v>
      </c>
      <c r="M42" s="2"/>
      <c r="N42" s="19">
        <f t="shared" si="1"/>
        <v>-1</v>
      </c>
      <c r="O42" s="11"/>
      <c r="P42" s="2">
        <f t="shared" si="12"/>
        <v>0</v>
      </c>
      <c r="Q42" s="2"/>
      <c r="R42" s="19"/>
      <c r="S42" s="2"/>
      <c r="T42" s="2">
        <f>-9706.08</f>
        <v>-9706.08</v>
      </c>
      <c r="U42" s="2"/>
      <c r="V42" s="19"/>
      <c r="W42" s="2"/>
      <c r="X42" s="2">
        <f t="shared" si="2"/>
        <v>9706.08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 t="shared" si="11"/>
        <v>0</v>
      </c>
      <c r="E43" s="2"/>
      <c r="F43" s="19"/>
      <c r="G43" s="2"/>
      <c r="H43" s="2">
        <f>-722.72</f>
        <v>-722.72</v>
      </c>
      <c r="I43" s="2"/>
      <c r="J43" s="19"/>
      <c r="K43" s="2"/>
      <c r="L43" s="2">
        <f t="shared" si="0"/>
        <v>722.72</v>
      </c>
      <c r="M43" s="2"/>
      <c r="N43" s="19">
        <f t="shared" si="1"/>
        <v>-1</v>
      </c>
      <c r="O43" s="11"/>
      <c r="P43" s="2">
        <f t="shared" si="12"/>
        <v>0</v>
      </c>
      <c r="Q43" s="2"/>
      <c r="R43" s="19"/>
      <c r="S43" s="2"/>
      <c r="T43" s="2">
        <f>-1466.76</f>
        <v>-1466.76</v>
      </c>
      <c r="U43" s="2"/>
      <c r="V43" s="19"/>
      <c r="W43" s="2"/>
      <c r="X43" s="2">
        <f t="shared" si="2"/>
        <v>1466.76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 t="shared" si="11"/>
        <v>0</v>
      </c>
      <c r="E44" s="2"/>
      <c r="F44" s="19"/>
      <c r="G44" s="2"/>
      <c r="H44" s="2">
        <f>-397.83</f>
        <v>-397.83</v>
      </c>
      <c r="I44" s="2"/>
      <c r="J44" s="19"/>
      <c r="K44" s="2"/>
      <c r="L44" s="2">
        <f t="shared" si="0"/>
        <v>397.83</v>
      </c>
      <c r="M44" s="2"/>
      <c r="N44" s="19">
        <f t="shared" si="1"/>
        <v>-1</v>
      </c>
      <c r="O44" s="11"/>
      <c r="P44" s="2">
        <f t="shared" si="12"/>
        <v>0</v>
      </c>
      <c r="Q44" s="2"/>
      <c r="R44" s="19"/>
      <c r="S44" s="2"/>
      <c r="T44" s="2">
        <f>-950.74</f>
        <v>-950.74</v>
      </c>
      <c r="U44" s="2"/>
      <c r="V44" s="19"/>
      <c r="W44" s="2"/>
      <c r="X44" s="2">
        <f t="shared" si="2"/>
        <v>950.74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 t="shared" si="11"/>
        <v>0</v>
      </c>
      <c r="E45" s="2"/>
      <c r="F45" s="19"/>
      <c r="G45" s="2"/>
      <c r="H45" s="2">
        <f>-59.94</f>
        <v>-59.94</v>
      </c>
      <c r="I45" s="2"/>
      <c r="J45" s="19"/>
      <c r="K45" s="2"/>
      <c r="L45" s="2">
        <f t="shared" si="0"/>
        <v>59.94</v>
      </c>
      <c r="M45" s="2"/>
      <c r="N45" s="19">
        <f t="shared" si="1"/>
        <v>-1</v>
      </c>
      <c r="O45" s="11"/>
      <c r="P45" s="2">
        <f t="shared" si="12"/>
        <v>0</v>
      </c>
      <c r="Q45" s="2"/>
      <c r="R45" s="19"/>
      <c r="S45" s="2"/>
      <c r="T45" s="2">
        <f>-153.37</f>
        <v>-153.37</v>
      </c>
      <c r="U45" s="2"/>
      <c r="V45" s="19"/>
      <c r="W45" s="2"/>
      <c r="X45" s="2">
        <f t="shared" si="2"/>
        <v>153.37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 t="shared" si="11"/>
        <v>0</v>
      </c>
      <c r="E46" s="2"/>
      <c r="F46" s="19"/>
      <c r="G46" s="2"/>
      <c r="H46" s="2">
        <f>-60</f>
        <v>-60</v>
      </c>
      <c r="I46" s="2"/>
      <c r="J46" s="19"/>
      <c r="K46" s="2"/>
      <c r="L46" s="2">
        <f t="shared" si="0"/>
        <v>60</v>
      </c>
      <c r="M46" s="2"/>
      <c r="N46" s="19">
        <f t="shared" si="1"/>
        <v>-1</v>
      </c>
      <c r="O46" s="11"/>
      <c r="P46" s="2">
        <f t="shared" si="12"/>
        <v>0</v>
      </c>
      <c r="Q46" s="2"/>
      <c r="R46" s="19"/>
      <c r="S46" s="2"/>
      <c r="T46" s="2">
        <f>-410.99</f>
        <v>-410.99</v>
      </c>
      <c r="U46" s="2"/>
      <c r="V46" s="19"/>
      <c r="W46" s="2"/>
      <c r="X46" s="2">
        <f t="shared" si="2"/>
        <v>410.99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 t="shared" si="11"/>
        <v>0</v>
      </c>
      <c r="E47" s="2"/>
      <c r="F47" s="19"/>
      <c r="G47" s="2"/>
      <c r="H47" s="2">
        <f>-3.99</f>
        <v>-3.99</v>
      </c>
      <c r="I47" s="2"/>
      <c r="J47" s="19"/>
      <c r="K47" s="2"/>
      <c r="L47" s="2">
        <f t="shared" si="0"/>
        <v>3.99</v>
      </c>
      <c r="M47" s="2"/>
      <c r="N47" s="19">
        <f t="shared" si="1"/>
        <v>-1</v>
      </c>
      <c r="O47" s="11"/>
      <c r="P47" s="2">
        <f t="shared" si="12"/>
        <v>0</v>
      </c>
      <c r="Q47" s="2"/>
      <c r="R47" s="19"/>
      <c r="S47" s="2"/>
      <c r="T47" s="2">
        <f>-1175.95</f>
        <v>-1175.95</v>
      </c>
      <c r="U47" s="2"/>
      <c r="V47" s="19"/>
      <c r="W47" s="2"/>
      <c r="X47" s="2">
        <f t="shared" si="2"/>
        <v>1175.95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"4300", " - ", "NON-TAX RETURNS")</f>
        <v xml:space="preserve">          4300 - NON-TAX RETURNS</v>
      </c>
      <c r="C48" s="11"/>
      <c r="D48" s="2">
        <f>-340.78</f>
        <v>-340.78</v>
      </c>
      <c r="E48" s="2"/>
      <c r="F48" s="19"/>
      <c r="G48" s="2"/>
      <c r="H48" s="2">
        <f>0</f>
        <v>0</v>
      </c>
      <c r="I48" s="2"/>
      <c r="J48" s="19"/>
      <c r="K48" s="2"/>
      <c r="L48" s="2">
        <f t="shared" si="0"/>
        <v>-340.78</v>
      </c>
      <c r="M48" s="2"/>
      <c r="N48" s="19">
        <f t="shared" si="1"/>
        <v>0</v>
      </c>
      <c r="O48" s="11"/>
      <c r="P48" s="2">
        <f>-558.98</f>
        <v>-558.98</v>
      </c>
      <c r="Q48" s="2"/>
      <c r="R48" s="19"/>
      <c r="S48" s="2"/>
      <c r="T48" s="2">
        <f>0</f>
        <v>0</v>
      </c>
      <c r="U48" s="2"/>
      <c r="V48" s="19"/>
      <c r="W48" s="2"/>
      <c r="X48" s="2">
        <f t="shared" si="2"/>
        <v>-558.98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"4340", " - ", "SALES RETURN NON TAXABLE-LOGO")</f>
        <v xml:space="preserve">          4340 - SALES RETURN NON TAXABLE-LOGO</v>
      </c>
      <c r="C49" s="11"/>
      <c r="D49" s="2">
        <f t="shared" ref="D49:D51" si="13">0</f>
        <v>0</v>
      </c>
      <c r="E49" s="2"/>
      <c r="F49" s="19"/>
      <c r="G49" s="2"/>
      <c r="H49" s="2">
        <f>-36.9</f>
        <v>-36.9</v>
      </c>
      <c r="I49" s="2"/>
      <c r="J49" s="19"/>
      <c r="K49" s="2"/>
      <c r="L49" s="2">
        <f t="shared" si="0"/>
        <v>36.9</v>
      </c>
      <c r="M49" s="2"/>
      <c r="N49" s="19">
        <f t="shared" si="1"/>
        <v>-1</v>
      </c>
      <c r="O49" s="11"/>
      <c r="P49" s="2">
        <f t="shared" ref="P49:P51" si="14">0</f>
        <v>0</v>
      </c>
      <c r="Q49" s="2"/>
      <c r="R49" s="19"/>
      <c r="S49" s="2"/>
      <c r="T49" s="2">
        <f>-541.04</f>
        <v>-541.04</v>
      </c>
      <c r="U49" s="2"/>
      <c r="V49" s="19"/>
      <c r="W49" s="2"/>
      <c r="X49" s="2">
        <f t="shared" si="2"/>
        <v>541.04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"4341", " - ", "SALES RETURN NON TAXABLE-LOGO")</f>
        <v xml:space="preserve">          4341 - SALES RETURN NON TAXABLE-LOGO</v>
      </c>
      <c r="C50" s="11"/>
      <c r="D50" s="2">
        <f t="shared" si="13"/>
        <v>0</v>
      </c>
      <c r="E50" s="2"/>
      <c r="F50" s="19"/>
      <c r="G50" s="2"/>
      <c r="H50" s="2">
        <f>-129.95</f>
        <v>-129.94999999999999</v>
      </c>
      <c r="I50" s="2"/>
      <c r="J50" s="19"/>
      <c r="K50" s="2"/>
      <c r="L50" s="2">
        <f t="shared" si="0"/>
        <v>129.94999999999999</v>
      </c>
      <c r="M50" s="2"/>
      <c r="N50" s="19">
        <f t="shared" si="1"/>
        <v>-1</v>
      </c>
      <c r="O50" s="11"/>
      <c r="P50" s="2">
        <f t="shared" si="14"/>
        <v>0</v>
      </c>
      <c r="Q50" s="2"/>
      <c r="R50" s="19"/>
      <c r="S50" s="2"/>
      <c r="T50" s="2">
        <f>-146.9</f>
        <v>-146.9</v>
      </c>
      <c r="U50" s="2"/>
      <c r="V50" s="19"/>
      <c r="W50" s="2"/>
      <c r="X50" s="2">
        <f t="shared" si="2"/>
        <v>146.9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"4342", " - ", "SALES RETURN NON TAXABLE-EVERY")</f>
        <v xml:space="preserve">          4342 - SALES RETURN NON TAXABLE-EVERY</v>
      </c>
      <c r="C51" s="11"/>
      <c r="D51" s="2">
        <f t="shared" si="13"/>
        <v>0</v>
      </c>
      <c r="E51" s="2"/>
      <c r="F51" s="19"/>
      <c r="G51" s="2"/>
      <c r="H51" s="2">
        <f>-24.95</f>
        <v>-24.95</v>
      </c>
      <c r="I51" s="2"/>
      <c r="J51" s="19"/>
      <c r="K51" s="2"/>
      <c r="L51" s="2">
        <f t="shared" si="0"/>
        <v>24.95</v>
      </c>
      <c r="M51" s="2"/>
      <c r="N51" s="19">
        <f t="shared" si="1"/>
        <v>-1</v>
      </c>
      <c r="O51" s="11"/>
      <c r="P51" s="2">
        <f t="shared" si="14"/>
        <v>0</v>
      </c>
      <c r="Q51" s="2"/>
      <c r="R51" s="19"/>
      <c r="S51" s="2"/>
      <c r="T51" s="2">
        <f>-118.7</f>
        <v>-118.7</v>
      </c>
      <c r="U51" s="2"/>
      <c r="V51" s="19"/>
      <c r="W51" s="2"/>
      <c r="X51" s="2">
        <f t="shared" si="2"/>
        <v>118.7</v>
      </c>
      <c r="Y51" s="2"/>
      <c r="Z51" s="19">
        <f t="shared" si="3"/>
        <v>-1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collapsed="1" x14ac:dyDescent="0.25">
      <c r="A53" s="10"/>
      <c r="B53" s="26" t="s">
        <v>256</v>
      </c>
      <c r="C53" s="10"/>
      <c r="D53" s="4">
        <f>SUM(OSRRefD16x_0)</f>
        <v>134223.49</v>
      </c>
      <c r="E53" s="4"/>
      <c r="F53" s="12">
        <f t="shared" ref="F53:F73" si="15">IF(D$12=0,0,D53/D$12)</f>
        <v>0.47051416094418957</v>
      </c>
      <c r="G53" s="4"/>
      <c r="H53" s="4">
        <f>SUM(OSRRefH16x_0)</f>
        <v>59318.600000000013</v>
      </c>
      <c r="I53" s="4"/>
      <c r="J53" s="12">
        <f t="shared" ref="J53:J73" si="16">IF(H$12=0,0,H53/H$12)</f>
        <v>0.63238521996000707</v>
      </c>
      <c r="K53" s="4"/>
      <c r="L53" s="4">
        <f t="shared" ref="L53:L73" si="17">+D53-H53</f>
        <v>74904.889999999985</v>
      </c>
      <c r="M53" s="4"/>
      <c r="N53" s="12">
        <f t="shared" ref="N53:N73" si="18">IF(H53=0,0,L53/H53)</f>
        <v>1.2627555269342157</v>
      </c>
      <c r="O53" s="10"/>
      <c r="P53" s="4">
        <f>SUM(OSRRefP16x_0)</f>
        <v>364531.32999999996</v>
      </c>
      <c r="Q53" s="4"/>
      <c r="R53" s="12">
        <f t="shared" ref="R53:R73" si="19">IF(P$12=0,0,P53/P$12)</f>
        <v>0.45286727684159012</v>
      </c>
      <c r="S53" s="4"/>
      <c r="T53" s="4">
        <f>SUM(OSRRefT16x_0)</f>
        <v>331274.54000000004</v>
      </c>
      <c r="U53" s="4"/>
      <c r="V53" s="12">
        <f t="shared" ref="V53:V73" si="20">IF(T$12=0,0,T53/T$12)</f>
        <v>0.6250894212627196</v>
      </c>
      <c r="W53" s="4"/>
      <c r="X53" s="4">
        <f t="shared" ref="X53:X73" si="21">+P53-T53</f>
        <v>33256.789999999921</v>
      </c>
      <c r="Y53" s="4"/>
      <c r="Z53" s="12">
        <f t="shared" ref="Z53:Z73" si="22">IF(T53=0,0,X53/T53)</f>
        <v>0.10039041937844036</v>
      </c>
    </row>
    <row r="54" spans="1:26" s="24" customFormat="1" hidden="1" outlineLevel="1" x14ac:dyDescent="0.25">
      <c r="A54" s="44"/>
      <c r="B54" s="11" t="str">
        <f>CONCATENATE("          ", "5000", " - ", "PURCHASES @ COST")</f>
        <v xml:space="preserve">          5000 - PURCHASES @ COST</v>
      </c>
      <c r="C54" s="11"/>
      <c r="D54" s="2">
        <v>133581.15</v>
      </c>
      <c r="E54" s="2"/>
      <c r="F54" s="19">
        <f t="shared" si="15"/>
        <v>0.46826246814331773</v>
      </c>
      <c r="G54" s="2"/>
      <c r="H54" s="2"/>
      <c r="I54" s="2"/>
      <c r="J54" s="19">
        <f t="shared" si="16"/>
        <v>0</v>
      </c>
      <c r="K54" s="2"/>
      <c r="L54" s="2">
        <f t="shared" si="17"/>
        <v>133581.15</v>
      </c>
      <c r="M54" s="2"/>
      <c r="N54" s="19">
        <f t="shared" si="18"/>
        <v>0</v>
      </c>
      <c r="O54" s="11"/>
      <c r="P54" s="2">
        <v>277838.78999999998</v>
      </c>
      <c r="Q54" s="2"/>
      <c r="R54" s="19">
        <f t="shared" si="19"/>
        <v>0.3451667548801976</v>
      </c>
      <c r="S54" s="2"/>
      <c r="T54" s="2"/>
      <c r="U54" s="2"/>
      <c r="V54" s="19">
        <f t="shared" si="20"/>
        <v>0</v>
      </c>
      <c r="W54" s="2"/>
      <c r="X54" s="2">
        <f t="shared" si="21"/>
        <v>277838.78999999998</v>
      </c>
      <c r="Y54" s="2"/>
      <c r="Z54" s="19">
        <f t="shared" si="22"/>
        <v>0</v>
      </c>
    </row>
    <row r="55" spans="1:26" s="24" customFormat="1" hidden="1" outlineLevel="1" x14ac:dyDescent="0.25">
      <c r="A55" s="44"/>
      <c r="B55" s="11" t="str">
        <f>CONCATENATE("          ", "5027", " - ", "PURCHASES @ COST-SCHOOL SUPPLI")</f>
        <v xml:space="preserve">          5027 - PURCHASES @ COST-SCHOOL SUPPLI</v>
      </c>
      <c r="C55" s="11"/>
      <c r="D55" s="2">
        <v>0</v>
      </c>
      <c r="E55" s="2"/>
      <c r="F55" s="19">
        <f t="shared" si="15"/>
        <v>0</v>
      </c>
      <c r="G55" s="2"/>
      <c r="H55" s="2"/>
      <c r="I55" s="2"/>
      <c r="J55" s="19">
        <f t="shared" si="16"/>
        <v>0</v>
      </c>
      <c r="K55" s="2"/>
      <c r="L55" s="2">
        <f t="shared" si="17"/>
        <v>0</v>
      </c>
      <c r="M55" s="2"/>
      <c r="N55" s="19">
        <f t="shared" si="18"/>
        <v>0</v>
      </c>
      <c r="O55" s="11"/>
      <c r="P55" s="2">
        <v>0</v>
      </c>
      <c r="Q55" s="2"/>
      <c r="R55" s="19">
        <f t="shared" si="19"/>
        <v>0</v>
      </c>
      <c r="S55" s="2"/>
      <c r="T55" s="2">
        <v>8503.4</v>
      </c>
      <c r="U55" s="2"/>
      <c r="V55" s="19">
        <f t="shared" si="20"/>
        <v>1.6045257763441189E-2</v>
      </c>
      <c r="W55" s="2"/>
      <c r="X55" s="2">
        <f t="shared" si="21"/>
        <v>-8503.4</v>
      </c>
      <c r="Y55" s="2"/>
      <c r="Z55" s="19">
        <f t="shared" si="22"/>
        <v>-1</v>
      </c>
    </row>
    <row r="56" spans="1:26" s="24" customFormat="1" hidden="1" outlineLevel="1" x14ac:dyDescent="0.25">
      <c r="A56" s="44"/>
      <c r="B56" s="11" t="str">
        <f>CONCATENATE("          ", "5028", " - ", "PURCHASES @ COST-ART/TECH")</f>
        <v xml:space="preserve">          5028 - PURCHASES @ COST-ART/TECH</v>
      </c>
      <c r="C56" s="11"/>
      <c r="D56" s="2">
        <v>0</v>
      </c>
      <c r="E56" s="2"/>
      <c r="F56" s="19">
        <f t="shared" si="15"/>
        <v>0</v>
      </c>
      <c r="G56" s="2"/>
      <c r="H56" s="2">
        <v>-83.4</v>
      </c>
      <c r="I56" s="2"/>
      <c r="J56" s="19">
        <f t="shared" si="16"/>
        <v>-8.8911281359749857E-4</v>
      </c>
      <c r="K56" s="2"/>
      <c r="L56" s="2">
        <f t="shared" si="17"/>
        <v>83.4</v>
      </c>
      <c r="M56" s="2"/>
      <c r="N56" s="19">
        <f t="shared" si="18"/>
        <v>-1</v>
      </c>
      <c r="O56" s="11"/>
      <c r="P56" s="2">
        <v>0</v>
      </c>
      <c r="Q56" s="2"/>
      <c r="R56" s="19">
        <f t="shared" si="19"/>
        <v>0</v>
      </c>
      <c r="S56" s="2"/>
      <c r="T56" s="2">
        <v>-83.4</v>
      </c>
      <c r="U56" s="2"/>
      <c r="V56" s="19">
        <f t="shared" si="20"/>
        <v>-1.5736934608168442E-4</v>
      </c>
      <c r="W56" s="2"/>
      <c r="X56" s="2">
        <f t="shared" si="21"/>
        <v>83.4</v>
      </c>
      <c r="Y56" s="2"/>
      <c r="Z56" s="19">
        <f t="shared" si="22"/>
        <v>-1</v>
      </c>
    </row>
    <row r="57" spans="1:26" s="24" customFormat="1" hidden="1" outlineLevel="1" x14ac:dyDescent="0.25">
      <c r="A57" s="44"/>
      <c r="B57" s="11" t="str">
        <f>CONCATENATE("          ", "5031", " - ", "PURCHASES @ COST-FOOD")</f>
        <v xml:space="preserve">          5031 - PURCHASES @ COST-FOOD</v>
      </c>
      <c r="C57" s="11"/>
      <c r="D57" s="2">
        <v>0</v>
      </c>
      <c r="E57" s="2"/>
      <c r="F57" s="19">
        <f t="shared" si="15"/>
        <v>0</v>
      </c>
      <c r="G57" s="2"/>
      <c r="H57" s="2">
        <v>1183.51</v>
      </c>
      <c r="I57" s="2"/>
      <c r="J57" s="19">
        <f t="shared" si="16"/>
        <v>1.2617193117755101E-2</v>
      </c>
      <c r="K57" s="2"/>
      <c r="L57" s="2">
        <f t="shared" si="17"/>
        <v>-1183.51</v>
      </c>
      <c r="M57" s="2"/>
      <c r="N57" s="19">
        <f t="shared" si="18"/>
        <v>-1</v>
      </c>
      <c r="O57" s="11"/>
      <c r="P57" s="2">
        <v>0</v>
      </c>
      <c r="Q57" s="2"/>
      <c r="R57" s="19">
        <f t="shared" si="19"/>
        <v>0</v>
      </c>
      <c r="S57" s="2"/>
      <c r="T57" s="2">
        <v>1183.51</v>
      </c>
      <c r="U57" s="2"/>
      <c r="V57" s="19">
        <f t="shared" si="20"/>
        <v>2.2331917839464544E-3</v>
      </c>
      <c r="W57" s="2"/>
      <c r="X57" s="2">
        <f t="shared" si="21"/>
        <v>-1183.51</v>
      </c>
      <c r="Y57" s="2"/>
      <c r="Z57" s="19">
        <f t="shared" si="22"/>
        <v>-1</v>
      </c>
    </row>
    <row r="58" spans="1:26" s="24" customFormat="1" hidden="1" outlineLevel="1" x14ac:dyDescent="0.25">
      <c r="A58" s="44"/>
      <c r="B58" s="11" t="str">
        <f>CONCATENATE("          ", "5040", " - ", "PURCHASES @ COST-LOGO CLOTHING")</f>
        <v xml:space="preserve">          5040 - PURCHASES @ COST-LOGO CLOTHING</v>
      </c>
      <c r="C58" s="11"/>
      <c r="D58" s="2">
        <v>0</v>
      </c>
      <c r="E58" s="2"/>
      <c r="F58" s="19">
        <f t="shared" si="15"/>
        <v>0</v>
      </c>
      <c r="G58" s="2"/>
      <c r="H58" s="2">
        <v>4398.1499999999996</v>
      </c>
      <c r="I58" s="2"/>
      <c r="J58" s="19">
        <f t="shared" si="16"/>
        <v>4.688790792714434E-2</v>
      </c>
      <c r="K58" s="2"/>
      <c r="L58" s="2">
        <f t="shared" si="17"/>
        <v>-4398.1499999999996</v>
      </c>
      <c r="M58" s="2"/>
      <c r="N58" s="19">
        <f t="shared" si="18"/>
        <v>-1</v>
      </c>
      <c r="O58" s="11"/>
      <c r="P58" s="2">
        <v>0</v>
      </c>
      <c r="Q58" s="2"/>
      <c r="R58" s="19">
        <f t="shared" si="19"/>
        <v>0</v>
      </c>
      <c r="S58" s="2"/>
      <c r="T58" s="2">
        <v>13750.05</v>
      </c>
      <c r="U58" s="2"/>
      <c r="V58" s="19">
        <f t="shared" si="20"/>
        <v>2.5945280300844899E-2</v>
      </c>
      <c r="W58" s="2"/>
      <c r="X58" s="2">
        <f t="shared" si="21"/>
        <v>-13750.05</v>
      </c>
      <c r="Y58" s="2"/>
      <c r="Z58" s="19">
        <f t="shared" si="22"/>
        <v>-1</v>
      </c>
    </row>
    <row r="59" spans="1:26" s="24" customFormat="1" hidden="1" outlineLevel="1" x14ac:dyDescent="0.25">
      <c r="A59" s="44"/>
      <c r="B59" s="11" t="str">
        <f>CONCATENATE("          ", "5041", " - ", "PURCHASES @ COST-LOGO GIFTS")</f>
        <v xml:space="preserve">          5041 - PURCHASES @ COST-LOGO GIFTS</v>
      </c>
      <c r="C59" s="11"/>
      <c r="D59" s="2">
        <v>0</v>
      </c>
      <c r="E59" s="2"/>
      <c r="F59" s="19">
        <f t="shared" si="15"/>
        <v>0</v>
      </c>
      <c r="G59" s="2"/>
      <c r="H59" s="2">
        <v>868</v>
      </c>
      <c r="I59" s="2"/>
      <c r="J59" s="19">
        <f t="shared" si="16"/>
        <v>9.2535961894799606E-3</v>
      </c>
      <c r="K59" s="2"/>
      <c r="L59" s="2">
        <f t="shared" si="17"/>
        <v>-868</v>
      </c>
      <c r="M59" s="2"/>
      <c r="N59" s="19">
        <f t="shared" si="18"/>
        <v>-1</v>
      </c>
      <c r="O59" s="11"/>
      <c r="P59" s="2">
        <v>0</v>
      </c>
      <c r="Q59" s="2"/>
      <c r="R59" s="19">
        <f t="shared" si="19"/>
        <v>0</v>
      </c>
      <c r="S59" s="2"/>
      <c r="T59" s="2">
        <v>1997.54</v>
      </c>
      <c r="U59" s="2"/>
      <c r="V59" s="19">
        <f t="shared" si="20"/>
        <v>3.7692034001439792E-3</v>
      </c>
      <c r="W59" s="2"/>
      <c r="X59" s="2">
        <f t="shared" si="21"/>
        <v>-1997.54</v>
      </c>
      <c r="Y59" s="2"/>
      <c r="Z59" s="19">
        <f t="shared" si="22"/>
        <v>-1</v>
      </c>
    </row>
    <row r="60" spans="1:26" s="24" customFormat="1" hidden="1" outlineLevel="1" x14ac:dyDescent="0.25">
      <c r="A60" s="44"/>
      <c r="B60" s="11" t="str">
        <f>CONCATENATE("          ", "5042", " - ", "PURCHASES @ COST-EVERYDAY GIFT")</f>
        <v xml:space="preserve">          5042 - PURCHASES @ COST-EVERYDAY GIFT</v>
      </c>
      <c r="C60" s="11"/>
      <c r="D60" s="2"/>
      <c r="E60" s="2"/>
      <c r="F60" s="19">
        <f t="shared" si="15"/>
        <v>0</v>
      </c>
      <c r="G60" s="2"/>
      <c r="H60" s="2">
        <v>522</v>
      </c>
      <c r="I60" s="2"/>
      <c r="J60" s="19">
        <f t="shared" si="16"/>
        <v>5.5649507038116816E-3</v>
      </c>
      <c r="K60" s="2"/>
      <c r="L60" s="2">
        <f t="shared" si="17"/>
        <v>-522</v>
      </c>
      <c r="M60" s="2"/>
      <c r="N60" s="19">
        <f t="shared" si="18"/>
        <v>-1</v>
      </c>
      <c r="O60" s="11"/>
      <c r="P60" s="2">
        <v>0</v>
      </c>
      <c r="Q60" s="2"/>
      <c r="R60" s="19">
        <f t="shared" si="19"/>
        <v>0</v>
      </c>
      <c r="S60" s="2"/>
      <c r="T60" s="2">
        <v>1491.15</v>
      </c>
      <c r="U60" s="2"/>
      <c r="V60" s="19">
        <f t="shared" si="20"/>
        <v>2.8136846571906919E-3</v>
      </c>
      <c r="W60" s="2"/>
      <c r="X60" s="2">
        <f t="shared" si="21"/>
        <v>-1491.15</v>
      </c>
      <c r="Y60" s="2"/>
      <c r="Z60" s="19">
        <f t="shared" si="22"/>
        <v>-1</v>
      </c>
    </row>
    <row r="61" spans="1:26" s="24" customFormat="1" hidden="1" outlineLevel="1" x14ac:dyDescent="0.25">
      <c r="A61" s="44"/>
      <c r="B61" s="11" t="str">
        <f>CONCATENATE("          ", "5043", " - ", "PURCHASES @ COST-CARDS")</f>
        <v xml:space="preserve">          5043 - PURCHASES @ COST-CARDS</v>
      </c>
      <c r="C61" s="11"/>
      <c r="D61" s="2"/>
      <c r="E61" s="2"/>
      <c r="F61" s="19">
        <f t="shared" si="15"/>
        <v>0</v>
      </c>
      <c r="G61" s="2"/>
      <c r="H61" s="2">
        <v>1401</v>
      </c>
      <c r="I61" s="2"/>
      <c r="J61" s="19">
        <f t="shared" si="16"/>
        <v>1.4935815969425606E-2</v>
      </c>
      <c r="K61" s="2"/>
      <c r="L61" s="2">
        <f t="shared" si="17"/>
        <v>-1401</v>
      </c>
      <c r="M61" s="2"/>
      <c r="N61" s="19">
        <f t="shared" si="18"/>
        <v>-1</v>
      </c>
      <c r="O61" s="11"/>
      <c r="P61" s="2">
        <v>0</v>
      </c>
      <c r="Q61" s="2"/>
      <c r="R61" s="19">
        <f t="shared" si="19"/>
        <v>0</v>
      </c>
      <c r="S61" s="2"/>
      <c r="T61" s="2">
        <v>3116.25</v>
      </c>
      <c r="U61" s="2"/>
      <c r="V61" s="19">
        <f t="shared" si="20"/>
        <v>5.8801225986456719E-3</v>
      </c>
      <c r="W61" s="2"/>
      <c r="X61" s="2">
        <f t="shared" si="21"/>
        <v>-3116.25</v>
      </c>
      <c r="Y61" s="2"/>
      <c r="Z61" s="19">
        <f t="shared" si="22"/>
        <v>-1</v>
      </c>
    </row>
    <row r="62" spans="1:26" s="24" customFormat="1" hidden="1" outlineLevel="1" x14ac:dyDescent="0.25">
      <c r="A62" s="44"/>
      <c r="B62" s="11" t="str">
        <f>CONCATENATE("          ", "5044", " - ", "PURCHASES @ COST-ACCESSORIES")</f>
        <v xml:space="preserve">          5044 - PURCHASES @ COST-ACCESSORIES</v>
      </c>
      <c r="C62" s="11"/>
      <c r="D62" s="2"/>
      <c r="E62" s="2"/>
      <c r="F62" s="19">
        <f t="shared" si="15"/>
        <v>0</v>
      </c>
      <c r="G62" s="2"/>
      <c r="H62" s="2"/>
      <c r="I62" s="2"/>
      <c r="J62" s="19">
        <f t="shared" si="16"/>
        <v>0</v>
      </c>
      <c r="K62" s="2"/>
      <c r="L62" s="2">
        <f t="shared" si="17"/>
        <v>0</v>
      </c>
      <c r="M62" s="2"/>
      <c r="N62" s="19">
        <f t="shared" si="18"/>
        <v>0</v>
      </c>
      <c r="O62" s="11"/>
      <c r="P62" s="2">
        <v>0</v>
      </c>
      <c r="Q62" s="2"/>
      <c r="R62" s="19">
        <f t="shared" si="19"/>
        <v>0</v>
      </c>
      <c r="S62" s="2"/>
      <c r="T62" s="2"/>
      <c r="U62" s="2"/>
      <c r="V62" s="19">
        <f t="shared" si="20"/>
        <v>0</v>
      </c>
      <c r="W62" s="2"/>
      <c r="X62" s="2">
        <f t="shared" si="21"/>
        <v>0</v>
      </c>
      <c r="Y62" s="2"/>
      <c r="Z62" s="19">
        <f t="shared" si="22"/>
        <v>0</v>
      </c>
    </row>
    <row r="63" spans="1:26" s="24" customFormat="1" hidden="1" outlineLevel="1" x14ac:dyDescent="0.25">
      <c r="A63" s="44"/>
      <c r="B63" s="11" t="str">
        <f>CONCATENATE("          ", "5045", " - ", "PURCHASES @ COST-SPECIAL ORDER")</f>
        <v xml:space="preserve">          5045 - PURCHASES @ COST-SPECIAL ORDER</v>
      </c>
      <c r="C63" s="11"/>
      <c r="D63" s="2">
        <v>0</v>
      </c>
      <c r="E63" s="2"/>
      <c r="F63" s="19">
        <f t="shared" si="15"/>
        <v>0</v>
      </c>
      <c r="G63" s="2"/>
      <c r="H63" s="2">
        <v>52784.12</v>
      </c>
      <c r="I63" s="2"/>
      <c r="J63" s="19">
        <f t="shared" si="16"/>
        <v>0.56272227154038368</v>
      </c>
      <c r="K63" s="2"/>
      <c r="L63" s="2">
        <f t="shared" si="17"/>
        <v>-52784.12</v>
      </c>
      <c r="M63" s="2"/>
      <c r="N63" s="19">
        <f t="shared" si="18"/>
        <v>-1</v>
      </c>
      <c r="O63" s="11"/>
      <c r="P63" s="2">
        <v>0</v>
      </c>
      <c r="Q63" s="2"/>
      <c r="R63" s="19">
        <f t="shared" si="19"/>
        <v>0</v>
      </c>
      <c r="S63" s="2"/>
      <c r="T63" s="2">
        <v>61174.29</v>
      </c>
      <c r="U63" s="2"/>
      <c r="V63" s="19">
        <f t="shared" si="20"/>
        <v>0.11543115125073532</v>
      </c>
      <c r="W63" s="2"/>
      <c r="X63" s="2">
        <f t="shared" si="21"/>
        <v>-61174.29</v>
      </c>
      <c r="Y63" s="2"/>
      <c r="Z63" s="19">
        <f t="shared" si="22"/>
        <v>-1</v>
      </c>
    </row>
    <row r="64" spans="1:26" s="24" customFormat="1" hidden="1" outlineLevel="1" x14ac:dyDescent="0.25">
      <c r="A64" s="44"/>
      <c r="B64" s="11" t="str">
        <f>CONCATENATE("          ", "5200", " - ", "PURCHASES OFFSET")</f>
        <v xml:space="preserve">          5200 - PURCHASES OFFSET</v>
      </c>
      <c r="C64" s="11"/>
      <c r="D64" s="2">
        <v>-136492.88</v>
      </c>
      <c r="E64" s="2"/>
      <c r="F64" s="19">
        <f t="shared" si="15"/>
        <v>-0.47846940135482963</v>
      </c>
      <c r="G64" s="2"/>
      <c r="H64" s="2">
        <v>-61907.24</v>
      </c>
      <c r="I64" s="2"/>
      <c r="J64" s="19">
        <f t="shared" si="16"/>
        <v>-0.65998225825486334</v>
      </c>
      <c r="K64" s="2"/>
      <c r="L64" s="2">
        <f t="shared" si="17"/>
        <v>-74585.640000000014</v>
      </c>
      <c r="M64" s="2"/>
      <c r="N64" s="19">
        <f t="shared" si="18"/>
        <v>1.2047967249064895</v>
      </c>
      <c r="O64" s="11"/>
      <c r="P64" s="2">
        <v>-285161.01</v>
      </c>
      <c r="Q64" s="2"/>
      <c r="R64" s="19">
        <f t="shared" si="19"/>
        <v>-0.35426334976501872</v>
      </c>
      <c r="S64" s="2"/>
      <c r="T64" s="2">
        <v>-93556.88</v>
      </c>
      <c r="U64" s="2"/>
      <c r="V64" s="19">
        <f t="shared" si="20"/>
        <v>-0.17653459265039112</v>
      </c>
      <c r="W64" s="2"/>
      <c r="X64" s="2">
        <f t="shared" si="21"/>
        <v>-191604.13</v>
      </c>
      <c r="Y64" s="2"/>
      <c r="Z64" s="19">
        <f t="shared" si="22"/>
        <v>2.047996149508192</v>
      </c>
    </row>
    <row r="65" spans="1:26" s="24" customFormat="1" hidden="1" outlineLevel="1" x14ac:dyDescent="0.25">
      <c r="A65" s="44"/>
      <c r="B65" s="11" t="str">
        <f>CONCATENATE("          ", "5300", " - ", "COG$ OFFSET")</f>
        <v xml:space="preserve">          5300 - COG$ OFFSET</v>
      </c>
      <c r="C65" s="11"/>
      <c r="D65" s="2">
        <v>134223.49</v>
      </c>
      <c r="E65" s="2"/>
      <c r="F65" s="19">
        <f t="shared" si="15"/>
        <v>0.47051416094418957</v>
      </c>
      <c r="G65" s="2"/>
      <c r="H65" s="2">
        <v>59402</v>
      </c>
      <c r="I65" s="2"/>
      <c r="J65" s="19">
        <f t="shared" si="16"/>
        <v>0.63327433277360445</v>
      </c>
      <c r="K65" s="2"/>
      <c r="L65" s="2">
        <f t="shared" si="17"/>
        <v>74821.489999999991</v>
      </c>
      <c r="M65" s="2"/>
      <c r="N65" s="19">
        <f t="shared" si="18"/>
        <v>1.2595786337160364</v>
      </c>
      <c r="O65" s="11"/>
      <c r="P65" s="2">
        <v>364531.33</v>
      </c>
      <c r="Q65" s="2"/>
      <c r="R65" s="19">
        <f t="shared" si="19"/>
        <v>0.45286727684159017</v>
      </c>
      <c r="S65" s="2"/>
      <c r="T65" s="2">
        <v>330358</v>
      </c>
      <c r="U65" s="2"/>
      <c r="V65" s="19">
        <f t="shared" si="20"/>
        <v>0.62335998120926972</v>
      </c>
      <c r="W65" s="2"/>
      <c r="X65" s="2">
        <f t="shared" si="21"/>
        <v>34173.330000000016</v>
      </c>
      <c r="Y65" s="2"/>
      <c r="Z65" s="19">
        <f t="shared" si="22"/>
        <v>0.10344332512002136</v>
      </c>
    </row>
    <row r="66" spans="1:26" s="24" customFormat="1" hidden="1" outlineLevel="1" x14ac:dyDescent="0.25">
      <c r="A66" s="44"/>
      <c r="B66" s="11" t="str">
        <f>CONCATENATE("          ", "5500", " - ", "FREIGHT-IN")</f>
        <v xml:space="preserve">          5500 - FREIGHT-IN</v>
      </c>
      <c r="C66" s="11"/>
      <c r="D66" s="2">
        <v>2911.73</v>
      </c>
      <c r="E66" s="2"/>
      <c r="F66" s="19">
        <f t="shared" si="15"/>
        <v>1.0206933211511823E-2</v>
      </c>
      <c r="G66" s="2"/>
      <c r="H66" s="2"/>
      <c r="I66" s="2"/>
      <c r="J66" s="19">
        <f t="shared" si="16"/>
        <v>0</v>
      </c>
      <c r="K66" s="2"/>
      <c r="L66" s="2">
        <f t="shared" si="17"/>
        <v>2911.73</v>
      </c>
      <c r="M66" s="2"/>
      <c r="N66" s="19">
        <f t="shared" si="18"/>
        <v>0</v>
      </c>
      <c r="O66" s="11"/>
      <c r="P66" s="2">
        <v>7322.22</v>
      </c>
      <c r="Q66" s="2"/>
      <c r="R66" s="19">
        <f t="shared" si="19"/>
        <v>9.0965948848210892E-3</v>
      </c>
      <c r="S66" s="2"/>
      <c r="T66" s="2"/>
      <c r="U66" s="2"/>
      <c r="V66" s="19">
        <f t="shared" si="20"/>
        <v>0</v>
      </c>
      <c r="W66" s="2"/>
      <c r="X66" s="2">
        <f t="shared" si="21"/>
        <v>7322.22</v>
      </c>
      <c r="Y66" s="2"/>
      <c r="Z66" s="19">
        <f t="shared" si="22"/>
        <v>0</v>
      </c>
    </row>
    <row r="67" spans="1:26" s="24" customFormat="1" hidden="1" outlineLevel="1" x14ac:dyDescent="0.25">
      <c r="A67" s="44"/>
      <c r="B67" s="11" t="str">
        <f>CONCATENATE("          ", "5527", " - ", "FREIGHT-IN-SCHOOL SUPPLIES")</f>
        <v xml:space="preserve">          5527 - FREIGHT-IN-SCHOOL SUPPLIES</v>
      </c>
      <c r="C67" s="11"/>
      <c r="D67" s="2"/>
      <c r="E67" s="2"/>
      <c r="F67" s="19">
        <f t="shared" si="15"/>
        <v>0</v>
      </c>
      <c r="G67" s="2"/>
      <c r="H67" s="2"/>
      <c r="I67" s="2"/>
      <c r="J67" s="19">
        <f t="shared" si="16"/>
        <v>0</v>
      </c>
      <c r="K67" s="2"/>
      <c r="L67" s="2">
        <f t="shared" si="17"/>
        <v>0</v>
      </c>
      <c r="M67" s="2"/>
      <c r="N67" s="19">
        <f t="shared" si="18"/>
        <v>0</v>
      </c>
      <c r="O67" s="11"/>
      <c r="P67" s="2">
        <v>0</v>
      </c>
      <c r="Q67" s="2"/>
      <c r="R67" s="19">
        <f t="shared" si="19"/>
        <v>0</v>
      </c>
      <c r="S67" s="2"/>
      <c r="T67" s="2"/>
      <c r="U67" s="2"/>
      <c r="V67" s="19">
        <f t="shared" si="20"/>
        <v>0</v>
      </c>
      <c r="W67" s="2"/>
      <c r="X67" s="2">
        <f t="shared" si="21"/>
        <v>0</v>
      </c>
      <c r="Y67" s="2"/>
      <c r="Z67" s="19">
        <f t="shared" si="22"/>
        <v>0</v>
      </c>
    </row>
    <row r="68" spans="1:26" s="24" customFormat="1" hidden="1" outlineLevel="1" x14ac:dyDescent="0.25">
      <c r="A68" s="44"/>
      <c r="B68" s="11" t="str">
        <f>CONCATENATE("          ", "5540", " - ", "FREIGHT-IN-LOGO CLOTHING")</f>
        <v xml:space="preserve">          5540 - FREIGHT-IN-LOGO CLOTHING</v>
      </c>
      <c r="C68" s="11"/>
      <c r="D68" s="2"/>
      <c r="E68" s="2"/>
      <c r="F68" s="19">
        <f t="shared" si="15"/>
        <v>0</v>
      </c>
      <c r="G68" s="2"/>
      <c r="H68" s="2">
        <v>234.23</v>
      </c>
      <c r="I68" s="2"/>
      <c r="J68" s="19">
        <f t="shared" si="16"/>
        <v>2.4970850638961878E-3</v>
      </c>
      <c r="K68" s="2"/>
      <c r="L68" s="2">
        <f t="shared" si="17"/>
        <v>-234.23</v>
      </c>
      <c r="M68" s="2"/>
      <c r="N68" s="19">
        <f t="shared" si="18"/>
        <v>-1</v>
      </c>
      <c r="O68" s="11"/>
      <c r="P68" s="2">
        <v>0</v>
      </c>
      <c r="Q68" s="2"/>
      <c r="R68" s="19">
        <f t="shared" si="19"/>
        <v>0</v>
      </c>
      <c r="S68" s="2"/>
      <c r="T68" s="2">
        <v>2165.7600000000002</v>
      </c>
      <c r="U68" s="2"/>
      <c r="V68" s="19">
        <f t="shared" si="20"/>
        <v>4.08662152242049E-3</v>
      </c>
      <c r="W68" s="2"/>
      <c r="X68" s="2">
        <f t="shared" si="21"/>
        <v>-2165.7600000000002</v>
      </c>
      <c r="Y68" s="2"/>
      <c r="Z68" s="19">
        <f t="shared" si="22"/>
        <v>-1</v>
      </c>
    </row>
    <row r="69" spans="1:26" s="24" customFormat="1" hidden="1" outlineLevel="1" x14ac:dyDescent="0.25">
      <c r="A69" s="44"/>
      <c r="B69" s="11" t="str">
        <f>CONCATENATE("          ", "5541", " - ", "FREIGHT-IN-LOGO GIFTS")</f>
        <v xml:space="preserve">          5541 - FREIGHT-IN-LOGO GIFTS</v>
      </c>
      <c r="C69" s="11"/>
      <c r="D69" s="2">
        <v>0</v>
      </c>
      <c r="E69" s="2"/>
      <c r="F69" s="19">
        <f t="shared" si="15"/>
        <v>0</v>
      </c>
      <c r="G69" s="2"/>
      <c r="H69" s="2">
        <v>154.41</v>
      </c>
      <c r="I69" s="2"/>
      <c r="J69" s="19">
        <f t="shared" si="16"/>
        <v>1.6461380041677427E-3</v>
      </c>
      <c r="K69" s="2"/>
      <c r="L69" s="2">
        <f t="shared" si="17"/>
        <v>-154.41</v>
      </c>
      <c r="M69" s="2"/>
      <c r="N69" s="19">
        <f t="shared" si="18"/>
        <v>-1</v>
      </c>
      <c r="O69" s="11"/>
      <c r="P69" s="2">
        <v>0</v>
      </c>
      <c r="Q69" s="2"/>
      <c r="R69" s="19">
        <f t="shared" si="19"/>
        <v>0</v>
      </c>
      <c r="S69" s="2"/>
      <c r="T69" s="2">
        <v>361.11</v>
      </c>
      <c r="U69" s="2"/>
      <c r="V69" s="19">
        <f t="shared" si="20"/>
        <v>6.8138662546231483E-4</v>
      </c>
      <c r="W69" s="2"/>
      <c r="X69" s="2">
        <f t="shared" si="21"/>
        <v>-361.11</v>
      </c>
      <c r="Y69" s="2"/>
      <c r="Z69" s="19">
        <f t="shared" si="22"/>
        <v>-1</v>
      </c>
    </row>
    <row r="70" spans="1:26" s="24" customFormat="1" hidden="1" outlineLevel="1" x14ac:dyDescent="0.25">
      <c r="A70" s="44"/>
      <c r="B70" s="11" t="str">
        <f>CONCATENATE("          ", "5542", " - ", "FREIGHT-IN-EVERYDAY GIFTS")</f>
        <v xml:space="preserve">          5542 - FREIGHT-IN-EVERYDAY GIFTS</v>
      </c>
      <c r="C70" s="11"/>
      <c r="D70" s="2"/>
      <c r="E70" s="2"/>
      <c r="F70" s="19">
        <f t="shared" si="15"/>
        <v>0</v>
      </c>
      <c r="G70" s="2"/>
      <c r="H70" s="2">
        <v>65.44</v>
      </c>
      <c r="I70" s="2"/>
      <c r="J70" s="19">
        <f t="shared" si="16"/>
        <v>6.9764439474604681E-4</v>
      </c>
      <c r="K70" s="2"/>
      <c r="L70" s="2">
        <f t="shared" si="17"/>
        <v>-65.44</v>
      </c>
      <c r="M70" s="2"/>
      <c r="N70" s="19">
        <f t="shared" si="18"/>
        <v>-1</v>
      </c>
      <c r="O70" s="11"/>
      <c r="P70" s="2">
        <v>0</v>
      </c>
      <c r="Q70" s="2"/>
      <c r="R70" s="19">
        <f t="shared" si="19"/>
        <v>0</v>
      </c>
      <c r="S70" s="2"/>
      <c r="T70" s="2">
        <v>71.38</v>
      </c>
      <c r="U70" s="2"/>
      <c r="V70" s="19">
        <f t="shared" si="20"/>
        <v>1.3468853625072701E-4</v>
      </c>
      <c r="W70" s="2"/>
      <c r="X70" s="2">
        <f t="shared" si="21"/>
        <v>-71.38</v>
      </c>
      <c r="Y70" s="2"/>
      <c r="Z70" s="19">
        <f t="shared" si="22"/>
        <v>-1</v>
      </c>
    </row>
    <row r="71" spans="1:26" s="24" customFormat="1" hidden="1" outlineLevel="1" x14ac:dyDescent="0.25">
      <c r="A71" s="44"/>
      <c r="B71" s="11" t="str">
        <f>CONCATENATE("          ", "5543", " - ", "FREIGHT-IN-CARDS")</f>
        <v xml:space="preserve">          5543 - FREIGHT-IN-CARDS</v>
      </c>
      <c r="C71" s="11"/>
      <c r="D71" s="2"/>
      <c r="E71" s="2"/>
      <c r="F71" s="19">
        <f t="shared" si="15"/>
        <v>0</v>
      </c>
      <c r="G71" s="2"/>
      <c r="H71" s="2">
        <v>81.77</v>
      </c>
      <c r="I71" s="2"/>
      <c r="J71" s="19">
        <f t="shared" si="16"/>
        <v>8.7173566867946586E-4</v>
      </c>
      <c r="K71" s="2"/>
      <c r="L71" s="2">
        <f t="shared" si="17"/>
        <v>-81.77</v>
      </c>
      <c r="M71" s="2"/>
      <c r="N71" s="19">
        <f t="shared" si="18"/>
        <v>-1</v>
      </c>
      <c r="O71" s="11"/>
      <c r="P71" s="2"/>
      <c r="Q71" s="2"/>
      <c r="R71" s="19">
        <f t="shared" si="19"/>
        <v>0</v>
      </c>
      <c r="S71" s="2"/>
      <c r="T71" s="2">
        <v>81.77</v>
      </c>
      <c r="U71" s="2"/>
      <c r="V71" s="19">
        <f t="shared" si="20"/>
        <v>1.5429366221941646E-4</v>
      </c>
      <c r="W71" s="2"/>
      <c r="X71" s="2">
        <f t="shared" si="21"/>
        <v>-81.77</v>
      </c>
      <c r="Y71" s="2"/>
      <c r="Z71" s="19">
        <f t="shared" si="22"/>
        <v>-1</v>
      </c>
    </row>
    <row r="72" spans="1:26" s="24" customFormat="1" hidden="1" outlineLevel="1" x14ac:dyDescent="0.25">
      <c r="A72" s="44"/>
      <c r="B72" s="11" t="str">
        <f>CONCATENATE("          ", "5544", " - ", "FREIGHT-IN-ACCESSORIES")</f>
        <v xml:space="preserve">          5544 - FREIGHT-IN-ACCESSORIES</v>
      </c>
      <c r="C72" s="11"/>
      <c r="D72" s="2"/>
      <c r="E72" s="2"/>
      <c r="F72" s="19">
        <f t="shared" si="15"/>
        <v>0</v>
      </c>
      <c r="G72" s="2"/>
      <c r="H72" s="2"/>
      <c r="I72" s="2"/>
      <c r="J72" s="19">
        <f t="shared" si="16"/>
        <v>0</v>
      </c>
      <c r="K72" s="2"/>
      <c r="L72" s="2">
        <f t="shared" si="17"/>
        <v>0</v>
      </c>
      <c r="M72" s="2"/>
      <c r="N72" s="19">
        <f t="shared" si="18"/>
        <v>0</v>
      </c>
      <c r="O72" s="11"/>
      <c r="P72" s="2">
        <v>0</v>
      </c>
      <c r="Q72" s="2"/>
      <c r="R72" s="19">
        <f t="shared" si="19"/>
        <v>0</v>
      </c>
      <c r="S72" s="2"/>
      <c r="T72" s="2"/>
      <c r="U72" s="2"/>
      <c r="V72" s="19">
        <f t="shared" si="20"/>
        <v>0</v>
      </c>
      <c r="W72" s="2"/>
      <c r="X72" s="2">
        <f t="shared" si="21"/>
        <v>0</v>
      </c>
      <c r="Y72" s="2"/>
      <c r="Z72" s="19">
        <f t="shared" si="22"/>
        <v>0</v>
      </c>
    </row>
    <row r="73" spans="1:26" s="24" customFormat="1" hidden="1" outlineLevel="1" x14ac:dyDescent="0.25">
      <c r="A73" s="44"/>
      <c r="B73" s="11" t="str">
        <f>CONCATENATE("          ", "5545", " - ", "FREIGHT-IN-SPECIAL ORDERS")</f>
        <v xml:space="preserve">          5545 - FREIGHT-IN-SPECIAL ORDERS</v>
      </c>
      <c r="C73" s="11"/>
      <c r="D73" s="2"/>
      <c r="E73" s="2"/>
      <c r="F73" s="19">
        <f t="shared" si="15"/>
        <v>0</v>
      </c>
      <c r="G73" s="2"/>
      <c r="H73" s="2">
        <v>214.61</v>
      </c>
      <c r="I73" s="2"/>
      <c r="J73" s="19">
        <f t="shared" si="16"/>
        <v>2.287919675373611E-3</v>
      </c>
      <c r="K73" s="2"/>
      <c r="L73" s="2">
        <f t="shared" si="17"/>
        <v>-214.61</v>
      </c>
      <c r="M73" s="2"/>
      <c r="N73" s="19">
        <f t="shared" si="18"/>
        <v>-1</v>
      </c>
      <c r="O73" s="11"/>
      <c r="P73" s="2">
        <v>0</v>
      </c>
      <c r="Q73" s="2"/>
      <c r="R73" s="19">
        <f t="shared" si="19"/>
        <v>0</v>
      </c>
      <c r="S73" s="2"/>
      <c r="T73" s="2">
        <v>660.61</v>
      </c>
      <c r="U73" s="2"/>
      <c r="V73" s="19">
        <f t="shared" si="20"/>
        <v>1.2465199486213613E-3</v>
      </c>
      <c r="W73" s="2"/>
      <c r="X73" s="2">
        <f t="shared" si="21"/>
        <v>-660.61</v>
      </c>
      <c r="Y73" s="2"/>
      <c r="Z73" s="19">
        <f t="shared" si="22"/>
        <v>-1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5" t="s">
        <v>107</v>
      </c>
      <c r="C75" s="25"/>
      <c r="D75" s="21">
        <f>D12-D53</f>
        <v>151046.33000000002</v>
      </c>
      <c r="E75" s="13"/>
      <c r="F75" s="22">
        <f>IF(D$12=0,0,D75/D$12)</f>
        <v>0.52948583905581048</v>
      </c>
      <c r="G75" s="13"/>
      <c r="H75" s="21">
        <f>H12-H53</f>
        <v>34482.769999999997</v>
      </c>
      <c r="I75" s="13"/>
      <c r="J75" s="22">
        <f>IF(H$12=0,0,H75/H$12)</f>
        <v>0.36761478003999293</v>
      </c>
      <c r="K75" s="16"/>
      <c r="L75" s="21">
        <f>+D75-H75</f>
        <v>116563.56000000003</v>
      </c>
      <c r="M75" s="16"/>
      <c r="N75" s="22">
        <f>IF(H75=0,0,L75/H75)</f>
        <v>3.3803421244870999</v>
      </c>
      <c r="O75" s="26"/>
      <c r="P75" s="21">
        <f>P12-P53</f>
        <v>440409.43000000005</v>
      </c>
      <c r="Q75" s="13"/>
      <c r="R75" s="22">
        <f>IF(P$12=0,0,P75/P$12)</f>
        <v>0.54713272315840988</v>
      </c>
      <c r="S75" s="13"/>
      <c r="T75" s="21">
        <f>T12-T53</f>
        <v>198688.90000000002</v>
      </c>
      <c r="U75" s="13"/>
      <c r="V75" s="22">
        <f>IF(T$12=0,0,T75/T$12)</f>
        <v>0.37491057873728045</v>
      </c>
      <c r="W75" s="16"/>
      <c r="X75" s="21">
        <f>+P75-T75</f>
        <v>241720.53000000003</v>
      </c>
      <c r="Y75" s="16"/>
      <c r="Z75" s="22">
        <f>IF(T75=0,0,X75/T75)</f>
        <v>1.2165779265978121</v>
      </c>
    </row>
    <row r="76" spans="1:26" x14ac:dyDescent="0.25">
      <c r="A76" s="9"/>
      <c r="B76" s="10"/>
      <c r="C76" s="9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6" t="s">
        <v>294</v>
      </c>
      <c r="C77" s="10"/>
      <c r="D77" s="20">
        <f>SUM(OSRRefD22x_0)</f>
        <v>70582.31</v>
      </c>
      <c r="E77" s="20"/>
      <c r="F77" s="30">
        <f t="shared" ref="F77:F86" si="23">IF(D$12=0,0,D77/D$12)</f>
        <v>0.24742298361600254</v>
      </c>
      <c r="G77" s="20"/>
      <c r="H77" s="20">
        <f>SUM(OSRRefH22x_0)</f>
        <v>47093.98000000001</v>
      </c>
      <c r="I77" s="20"/>
      <c r="J77" s="30">
        <f t="shared" ref="J77:J86" si="24">IF(H$12=0,0,H77/H$12)</f>
        <v>0.50206068418830141</v>
      </c>
      <c r="K77" s="4"/>
      <c r="L77" s="20">
        <f t="shared" ref="L77:L86" si="25">+D77-H77</f>
        <v>23488.329999999987</v>
      </c>
      <c r="M77" s="4"/>
      <c r="N77" s="30">
        <f t="shared" ref="N77:N86" si="26">IF(H77=0,0,L77/H77)</f>
        <v>0.49875440555247152</v>
      </c>
      <c r="O77" s="10"/>
      <c r="P77" s="20">
        <f>SUM(OSRRefP22x_0)</f>
        <v>232308.34000000003</v>
      </c>
      <c r="Q77" s="20"/>
      <c r="R77" s="30">
        <f t="shared" ref="R77:R86" si="27">IF(P$12=0,0,P77/P$12)</f>
        <v>0.28860302713456831</v>
      </c>
      <c r="S77" s="20"/>
      <c r="T77" s="20">
        <f>SUM(OSRRefT22x_0)</f>
        <v>146903.75999999998</v>
      </c>
      <c r="U77" s="20"/>
      <c r="V77" s="30">
        <f t="shared" ref="V77:V86" si="28">IF(T$12=0,0,T77/T$12)</f>
        <v>0.27719602695612355</v>
      </c>
      <c r="W77" s="4"/>
      <c r="X77" s="20">
        <f t="shared" ref="X77:X86" si="29">+P77-T77</f>
        <v>85404.580000000045</v>
      </c>
      <c r="Y77" s="4"/>
      <c r="Z77" s="30">
        <f t="shared" ref="Z77:Z86" si="30">IF(T77=0,0,X77/T77)</f>
        <v>0.5813641529665412</v>
      </c>
    </row>
    <row r="78" spans="1:26" s="27" customFormat="1" outlineLevel="1" collapsed="1" x14ac:dyDescent="0.25">
      <c r="A78" s="29"/>
      <c r="B78" s="14" t="str">
        <f>CONCATENATE("     ","*Benefits                                         ")</f>
        <v xml:space="preserve">     *Benefits                                         </v>
      </c>
      <c r="C78" s="14"/>
      <c r="D78" s="1">
        <f>SUM(OSRRefD22_0x_0)</f>
        <v>12262.359999999999</v>
      </c>
      <c r="E78" s="1"/>
      <c r="F78" s="5">
        <f t="shared" si="23"/>
        <v>4.298512895615806E-2</v>
      </c>
      <c r="G78" s="1"/>
      <c r="H78" s="1">
        <f>SUM(OSRRefH22_0x_0)</f>
        <v>13960.140000000001</v>
      </c>
      <c r="I78" s="1"/>
      <c r="J78" s="5">
        <f t="shared" si="24"/>
        <v>0.14882661095461611</v>
      </c>
      <c r="K78" s="1"/>
      <c r="L78" s="1">
        <f t="shared" si="25"/>
        <v>-1697.7800000000025</v>
      </c>
      <c r="M78" s="1"/>
      <c r="N78" s="5">
        <f t="shared" si="26"/>
        <v>-0.12161625886273364</v>
      </c>
      <c r="O78" s="14"/>
      <c r="P78" s="1">
        <f>SUM(OSRRefP22_0x_0)</f>
        <v>38397.450000000004</v>
      </c>
      <c r="Q78" s="1"/>
      <c r="R78" s="5">
        <f t="shared" si="27"/>
        <v>4.7702206060480777E-2</v>
      </c>
      <c r="S78" s="1"/>
      <c r="T78" s="1">
        <f>SUM(OSRRefT22_0x_0)</f>
        <v>33231.71</v>
      </c>
      <c r="U78" s="1"/>
      <c r="V78" s="5">
        <f t="shared" si="28"/>
        <v>6.2705665130409746E-2</v>
      </c>
      <c r="W78" s="1"/>
      <c r="X78" s="1">
        <f t="shared" si="29"/>
        <v>5165.7400000000052</v>
      </c>
      <c r="Y78" s="1"/>
      <c r="Z78" s="5">
        <f t="shared" si="30"/>
        <v>0.15544610855114002</v>
      </c>
    </row>
    <row r="79" spans="1:26" s="24" customFormat="1" hidden="1" outlineLevel="2" x14ac:dyDescent="0.25">
      <c r="A79" s="28"/>
      <c r="B79" s="11" t="str">
        <f>CONCATENATE("          ", "6111", " - ", "F.I.C.A.")</f>
        <v xml:space="preserve">          6111 - F.I.C.A.</v>
      </c>
      <c r="C79" s="11"/>
      <c r="D79" s="7">
        <v>2183.9299999999998</v>
      </c>
      <c r="E79" s="2"/>
      <c r="F79" s="6">
        <f t="shared" si="23"/>
        <v>7.6556643811812961E-3</v>
      </c>
      <c r="G79" s="2"/>
      <c r="H79" s="7">
        <v>5204.29</v>
      </c>
      <c r="I79" s="2"/>
      <c r="J79" s="6">
        <f t="shared" si="24"/>
        <v>5.5482025475747307E-2</v>
      </c>
      <c r="K79" s="2"/>
      <c r="L79" s="7">
        <f t="shared" si="25"/>
        <v>-3020.36</v>
      </c>
      <c r="M79" s="2"/>
      <c r="N79" s="6">
        <f t="shared" si="26"/>
        <v>-0.58035966481498924</v>
      </c>
      <c r="O79" s="11"/>
      <c r="P79" s="7">
        <v>8829.76</v>
      </c>
      <c r="Q79" s="2"/>
      <c r="R79" s="6">
        <f t="shared" si="27"/>
        <v>1.0969453205475642E-2</v>
      </c>
      <c r="S79" s="2"/>
      <c r="T79" s="7">
        <v>8618.4599999999991</v>
      </c>
      <c r="U79" s="2"/>
      <c r="V79" s="6">
        <f t="shared" si="28"/>
        <v>1.6262367079510235E-2</v>
      </c>
      <c r="W79" s="2"/>
      <c r="X79" s="7">
        <f t="shared" si="29"/>
        <v>211.30000000000109</v>
      </c>
      <c r="Y79" s="2"/>
      <c r="Z79" s="6">
        <f t="shared" si="30"/>
        <v>2.4517141113377692E-2</v>
      </c>
    </row>
    <row r="80" spans="1:26" s="24" customFormat="1" hidden="1" outlineLevel="2" x14ac:dyDescent="0.25">
      <c r="A80" s="28"/>
      <c r="B80" s="11" t="str">
        <f>CONCATENATE("          ", "6112", " - ", "COMPENSATION INSURANCE")</f>
        <v xml:space="preserve">          6112 - COMPENSATION INSURANCE</v>
      </c>
      <c r="C80" s="11"/>
      <c r="D80" s="7">
        <v>806.1</v>
      </c>
      <c r="E80" s="2"/>
      <c r="F80" s="6">
        <f t="shared" si="23"/>
        <v>2.8257458149621296E-3</v>
      </c>
      <c r="G80" s="2"/>
      <c r="H80" s="7">
        <v>2465.87</v>
      </c>
      <c r="I80" s="2"/>
      <c r="J80" s="6">
        <f t="shared" si="24"/>
        <v>2.6288208796950402E-2</v>
      </c>
      <c r="K80" s="2"/>
      <c r="L80" s="7">
        <f t="shared" si="25"/>
        <v>-1659.77</v>
      </c>
      <c r="M80" s="2"/>
      <c r="N80" s="6">
        <f t="shared" si="26"/>
        <v>-0.67309712190829207</v>
      </c>
      <c r="O80" s="11"/>
      <c r="P80" s="7">
        <v>2384.9299999999998</v>
      </c>
      <c r="Q80" s="2"/>
      <c r="R80" s="6">
        <f t="shared" si="27"/>
        <v>2.9628640000787135E-3</v>
      </c>
      <c r="S80" s="2"/>
      <c r="T80" s="7">
        <v>3428.21</v>
      </c>
      <c r="U80" s="2"/>
      <c r="V80" s="6">
        <f t="shared" si="28"/>
        <v>6.4687669775862272E-3</v>
      </c>
      <c r="W80" s="2"/>
      <c r="X80" s="7">
        <f t="shared" si="29"/>
        <v>-1043.2800000000002</v>
      </c>
      <c r="Y80" s="2"/>
      <c r="Z80" s="6">
        <f t="shared" si="30"/>
        <v>-0.30432208061933202</v>
      </c>
    </row>
    <row r="81" spans="1:26" s="24" customFormat="1" hidden="1" outlineLevel="2" x14ac:dyDescent="0.25">
      <c r="A81" s="28"/>
      <c r="B81" s="11" t="str">
        <f>CONCATENATE("          ", "6113", " - ", "GROUP INSURANCE")</f>
        <v xml:space="preserve">          6113 - GROUP INSURANCE</v>
      </c>
      <c r="C81" s="11"/>
      <c r="D81" s="7">
        <v>4306.93</v>
      </c>
      <c r="E81" s="2"/>
      <c r="F81" s="6">
        <f t="shared" si="23"/>
        <v>1.5097741499609038E-2</v>
      </c>
      <c r="G81" s="2"/>
      <c r="H81" s="7">
        <v>2826.13</v>
      </c>
      <c r="I81" s="2"/>
      <c r="J81" s="6">
        <f t="shared" si="24"/>
        <v>3.0128877648588712E-2</v>
      </c>
      <c r="K81" s="2"/>
      <c r="L81" s="7">
        <f t="shared" si="25"/>
        <v>1480.8000000000002</v>
      </c>
      <c r="M81" s="2"/>
      <c r="N81" s="6">
        <f t="shared" si="26"/>
        <v>0.52396740418876697</v>
      </c>
      <c r="O81" s="11"/>
      <c r="P81" s="7">
        <v>12875.79</v>
      </c>
      <c r="Q81" s="2"/>
      <c r="R81" s="6">
        <f t="shared" si="27"/>
        <v>1.5995947329092888E-2</v>
      </c>
      <c r="S81" s="2"/>
      <c r="T81" s="7">
        <v>9314.61</v>
      </c>
      <c r="U81" s="2"/>
      <c r="V81" s="6">
        <f t="shared" si="28"/>
        <v>1.7575948257864731E-2</v>
      </c>
      <c r="W81" s="2"/>
      <c r="X81" s="7">
        <f t="shared" si="29"/>
        <v>3561.1800000000003</v>
      </c>
      <c r="Y81" s="2"/>
      <c r="Z81" s="6">
        <f t="shared" si="30"/>
        <v>0.38232196517084455</v>
      </c>
    </row>
    <row r="82" spans="1:26" s="24" customFormat="1" hidden="1" outlineLevel="2" x14ac:dyDescent="0.25">
      <c r="A82" s="28"/>
      <c r="B82" s="11" t="str">
        <f>CONCATENATE("          ", "6114", " - ", "STATE UNEMPLOYMENT INSURANCE")</f>
        <v xml:space="preserve">          6114 - STATE UNEMPLOYMENT INSURANCE</v>
      </c>
      <c r="C82" s="11"/>
      <c r="D82" s="7">
        <v>141.61000000000001</v>
      </c>
      <c r="E82" s="2"/>
      <c r="F82" s="6">
        <f t="shared" si="23"/>
        <v>4.9640722597294037E-4</v>
      </c>
      <c r="G82" s="2"/>
      <c r="H82" s="7">
        <v>192.55</v>
      </c>
      <c r="I82" s="2"/>
      <c r="J82" s="6">
        <f t="shared" si="24"/>
        <v>2.0527418735995008E-3</v>
      </c>
      <c r="K82" s="2"/>
      <c r="L82" s="7">
        <f t="shared" si="25"/>
        <v>-50.94</v>
      </c>
      <c r="M82" s="2"/>
      <c r="N82" s="6">
        <f t="shared" si="26"/>
        <v>-0.26455466112697995</v>
      </c>
      <c r="O82" s="11"/>
      <c r="P82" s="7">
        <v>418.97</v>
      </c>
      <c r="Q82" s="2"/>
      <c r="R82" s="6">
        <f t="shared" si="27"/>
        <v>5.2049793080424951E-4</v>
      </c>
      <c r="S82" s="2"/>
      <c r="T82" s="7">
        <v>308.02999999999997</v>
      </c>
      <c r="U82" s="2"/>
      <c r="V82" s="6">
        <f t="shared" si="28"/>
        <v>5.812287730640437E-4</v>
      </c>
      <c r="W82" s="2"/>
      <c r="X82" s="7">
        <f t="shared" si="29"/>
        <v>110.94000000000005</v>
      </c>
      <c r="Y82" s="2"/>
      <c r="Z82" s="6">
        <f t="shared" si="30"/>
        <v>0.36015972470213964</v>
      </c>
    </row>
    <row r="83" spans="1:26" s="24" customFormat="1" hidden="1" outlineLevel="2" x14ac:dyDescent="0.25">
      <c r="A83" s="28"/>
      <c r="B83" s="11" t="str">
        <f>CONCATENATE("          ", "6115", " - ", "P.E.R.S.")</f>
        <v xml:space="preserve">          6115 - P.E.R.S.</v>
      </c>
      <c r="C83" s="11"/>
      <c r="D83" s="7">
        <v>1490.59</v>
      </c>
      <c r="E83" s="2"/>
      <c r="F83" s="6">
        <f t="shared" si="23"/>
        <v>5.2251934677141794E-3</v>
      </c>
      <c r="G83" s="2"/>
      <c r="H83" s="7">
        <v>1302.07</v>
      </c>
      <c r="I83" s="2"/>
      <c r="J83" s="6">
        <f t="shared" si="24"/>
        <v>1.3881140541977156E-2</v>
      </c>
      <c r="K83" s="2"/>
      <c r="L83" s="7">
        <f t="shared" si="25"/>
        <v>188.51999999999998</v>
      </c>
      <c r="M83" s="2"/>
      <c r="N83" s="6">
        <f t="shared" si="26"/>
        <v>0.14478484259678817</v>
      </c>
      <c r="O83" s="11"/>
      <c r="P83" s="7">
        <v>4471.7700000000004</v>
      </c>
      <c r="Q83" s="2"/>
      <c r="R83" s="6">
        <f t="shared" si="27"/>
        <v>5.5554026112430935E-3</v>
      </c>
      <c r="S83" s="2"/>
      <c r="T83" s="7">
        <v>4798.43</v>
      </c>
      <c r="U83" s="2"/>
      <c r="V83" s="6">
        <f t="shared" si="28"/>
        <v>9.0542660829584769E-3</v>
      </c>
      <c r="W83" s="2"/>
      <c r="X83" s="7">
        <f t="shared" si="29"/>
        <v>-326.65999999999985</v>
      </c>
      <c r="Y83" s="2"/>
      <c r="Z83" s="6">
        <f t="shared" si="30"/>
        <v>-6.8076433333402769E-2</v>
      </c>
    </row>
    <row r="84" spans="1:26" s="24" customFormat="1" hidden="1" outlineLevel="2" x14ac:dyDescent="0.25">
      <c r="A84" s="28"/>
      <c r="B84" s="11" t="str">
        <f>CONCATENATE("          ", "6118", " - ", "VACATION")</f>
        <v xml:space="preserve">          6118 - VACATION</v>
      </c>
      <c r="C84" s="11"/>
      <c r="D84" s="7">
        <v>1599.65</v>
      </c>
      <c r="E84" s="2"/>
      <c r="F84" s="6">
        <f t="shared" si="23"/>
        <v>5.6074981924130636E-3</v>
      </c>
      <c r="G84" s="2"/>
      <c r="H84" s="7">
        <v>886.6</v>
      </c>
      <c r="I84" s="2"/>
      <c r="J84" s="6">
        <f t="shared" si="24"/>
        <v>9.4518875363973891E-3</v>
      </c>
      <c r="K84" s="2"/>
      <c r="L84" s="7">
        <f t="shared" si="25"/>
        <v>713.05000000000007</v>
      </c>
      <c r="M84" s="2"/>
      <c r="N84" s="6">
        <f t="shared" si="26"/>
        <v>0.8042521994134898</v>
      </c>
      <c r="O84" s="11"/>
      <c r="P84" s="7">
        <v>4746.49</v>
      </c>
      <c r="Q84" s="2"/>
      <c r="R84" s="6">
        <f t="shared" si="27"/>
        <v>5.8966948077023703E-3</v>
      </c>
      <c r="S84" s="2"/>
      <c r="T84" s="7">
        <v>3460.34</v>
      </c>
      <c r="U84" s="2"/>
      <c r="V84" s="6">
        <f t="shared" si="28"/>
        <v>6.5293938012025883E-3</v>
      </c>
      <c r="W84" s="2"/>
      <c r="X84" s="7">
        <f t="shared" si="29"/>
        <v>1286.1499999999996</v>
      </c>
      <c r="Y84" s="2"/>
      <c r="Z84" s="6">
        <f t="shared" si="30"/>
        <v>0.37168312940346893</v>
      </c>
    </row>
    <row r="85" spans="1:26" s="24" customFormat="1" hidden="1" outlineLevel="2" x14ac:dyDescent="0.25">
      <c r="A85" s="28"/>
      <c r="B85" s="11" t="str">
        <f>CONCATENATE("          ", "6119", " - ", "SICK LEAVE")</f>
        <v xml:space="preserve">          6119 - SICK LEAVE</v>
      </c>
      <c r="C85" s="11"/>
      <c r="D85" s="7">
        <v>1066.4000000000001</v>
      </c>
      <c r="E85" s="2"/>
      <c r="F85" s="6">
        <f t="shared" si="23"/>
        <v>3.7382152798357713E-3</v>
      </c>
      <c r="G85" s="2"/>
      <c r="H85" s="7">
        <v>777.18</v>
      </c>
      <c r="I85" s="2"/>
      <c r="J85" s="6">
        <f t="shared" si="24"/>
        <v>8.2853800536175515E-3</v>
      </c>
      <c r="K85" s="2"/>
      <c r="L85" s="7">
        <f t="shared" si="25"/>
        <v>289.22000000000014</v>
      </c>
      <c r="M85" s="2"/>
      <c r="N85" s="6">
        <f t="shared" si="26"/>
        <v>0.37214030211791371</v>
      </c>
      <c r="O85" s="11"/>
      <c r="P85" s="7">
        <v>3199.2</v>
      </c>
      <c r="Q85" s="2"/>
      <c r="R85" s="6">
        <f t="shared" si="27"/>
        <v>3.9744539709978162E-3</v>
      </c>
      <c r="S85" s="2"/>
      <c r="T85" s="7">
        <v>2427.48</v>
      </c>
      <c r="U85" s="2"/>
      <c r="V85" s="6">
        <f t="shared" si="28"/>
        <v>4.5804669091890557E-3</v>
      </c>
      <c r="W85" s="2"/>
      <c r="X85" s="7">
        <f t="shared" si="29"/>
        <v>771.7199999999998</v>
      </c>
      <c r="Y85" s="2"/>
      <c r="Z85" s="6">
        <f t="shared" si="30"/>
        <v>0.31790993128676642</v>
      </c>
    </row>
    <row r="86" spans="1:26" s="24" customFormat="1" hidden="1" outlineLevel="2" x14ac:dyDescent="0.25">
      <c r="A86" s="28"/>
      <c r="B86" s="11" t="str">
        <f>CONCATENATE("          ", "6156", " - ", "EMPLOYEE MEALS")</f>
        <v xml:space="preserve">          6156 - EMPLOYEE MEALS</v>
      </c>
      <c r="C86" s="11"/>
      <c r="D86" s="7">
        <v>667.15</v>
      </c>
      <c r="E86" s="2"/>
      <c r="F86" s="6">
        <f t="shared" si="23"/>
        <v>2.3386630944696495E-3</v>
      </c>
      <c r="G86" s="2"/>
      <c r="H86" s="7">
        <v>305.45</v>
      </c>
      <c r="I86" s="2"/>
      <c r="J86" s="6">
        <f t="shared" si="24"/>
        <v>3.2563490277380805E-3</v>
      </c>
      <c r="K86" s="2"/>
      <c r="L86" s="7">
        <f t="shared" si="25"/>
        <v>361.7</v>
      </c>
      <c r="M86" s="2"/>
      <c r="N86" s="6">
        <f t="shared" si="26"/>
        <v>1.1841545261090194</v>
      </c>
      <c r="O86" s="11"/>
      <c r="P86" s="7">
        <v>1470.54</v>
      </c>
      <c r="Q86" s="2"/>
      <c r="R86" s="6">
        <f t="shared" si="27"/>
        <v>1.8268922050859991E-3</v>
      </c>
      <c r="S86" s="2"/>
      <c r="T86" s="7">
        <v>876.15</v>
      </c>
      <c r="U86" s="2"/>
      <c r="V86" s="6">
        <f t="shared" si="28"/>
        <v>1.6532272490343859E-3</v>
      </c>
      <c r="W86" s="2"/>
      <c r="X86" s="7">
        <f t="shared" si="29"/>
        <v>594.39</v>
      </c>
      <c r="Y86" s="2"/>
      <c r="Z86" s="6">
        <f t="shared" si="30"/>
        <v>0.67841123095360378</v>
      </c>
    </row>
    <row r="87" spans="1:26" s="27" customFormat="1" outlineLevel="1" collapsed="1" x14ac:dyDescent="0.25">
      <c r="A87" s="29"/>
      <c r="B87" s="14" t="str">
        <f>CONCATENATE("     ","*Payroll                                          ")</f>
        <v xml:space="preserve">     *Payroll                                          </v>
      </c>
      <c r="C87" s="14"/>
      <c r="D87" s="1">
        <f>SUM(OSRRefD22_1x_0)</f>
        <v>54230.46</v>
      </c>
      <c r="E87" s="1"/>
      <c r="F87" s="5">
        <f t="shared" ref="F87:F92" si="31">IF(D$12=0,0,D87/D$12)</f>
        <v>0.19010233890146527</v>
      </c>
      <c r="G87" s="1"/>
      <c r="H87" s="1">
        <f>SUM(OSRRefH22_1x_0)</f>
        <v>30854.230000000003</v>
      </c>
      <c r="I87" s="1"/>
      <c r="J87" s="5">
        <f t="shared" ref="J87:J92" si="32">IF(H$12=0,0,H87/H$12)</f>
        <v>0.32893154972043587</v>
      </c>
      <c r="K87" s="1"/>
      <c r="L87" s="1">
        <f t="shared" ref="L87:L92" si="33">+D87-H87</f>
        <v>23376.229999999996</v>
      </c>
      <c r="M87" s="1"/>
      <c r="N87" s="5">
        <f t="shared" ref="N87:N92" si="34">IF(H87=0,0,L87/H87)</f>
        <v>0.75763452855572777</v>
      </c>
      <c r="O87" s="14"/>
      <c r="P87" s="1">
        <f>SUM(OSRRefP22_1x_0)</f>
        <v>167922.18999999997</v>
      </c>
      <c r="Q87" s="1"/>
      <c r="R87" s="5">
        <f t="shared" ref="R87:R92" si="35">IF(P$12=0,0,P87/P$12)</f>
        <v>0.20861434573147963</v>
      </c>
      <c r="S87" s="1"/>
      <c r="T87" s="1">
        <f>SUM(OSRRefT22_1x_0)</f>
        <v>88713.78</v>
      </c>
      <c r="U87" s="1"/>
      <c r="V87" s="5">
        <f t="shared" ref="V87:V92" si="36">IF(T$12=0,0,T87/T$12)</f>
        <v>0.16739603773422557</v>
      </c>
      <c r="W87" s="1"/>
      <c r="X87" s="1">
        <f t="shared" ref="X87:X92" si="37">+P87-T87</f>
        <v>79208.409999999974</v>
      </c>
      <c r="Y87" s="1"/>
      <c r="Z87" s="5">
        <f t="shared" ref="Z87:Z92" si="38">IF(T87=0,0,X87/T87)</f>
        <v>0.89285351159650705</v>
      </c>
    </row>
    <row r="88" spans="1:26" s="24" customFormat="1" hidden="1" outlineLevel="2" x14ac:dyDescent="0.25">
      <c r="A88" s="28"/>
      <c r="B88" s="11" t="str">
        <f>CONCATENATE("          ", "6002", " - ", "STAFF SALARIES")</f>
        <v xml:space="preserve">          6002 - STAFF SALARIES</v>
      </c>
      <c r="C88" s="11"/>
      <c r="D88" s="7">
        <v>16378.33</v>
      </c>
      <c r="E88" s="2"/>
      <c r="F88" s="6">
        <f t="shared" si="31"/>
        <v>5.7413469114959301E-2</v>
      </c>
      <c r="G88" s="2"/>
      <c r="H88" s="7">
        <v>10829.86</v>
      </c>
      <c r="I88" s="2"/>
      <c r="J88" s="6">
        <f t="shared" si="32"/>
        <v>0.11545524335092333</v>
      </c>
      <c r="K88" s="2"/>
      <c r="L88" s="7">
        <f t="shared" si="33"/>
        <v>5548.4699999999993</v>
      </c>
      <c r="M88" s="2"/>
      <c r="N88" s="6">
        <f t="shared" si="34"/>
        <v>0.51233072265015422</v>
      </c>
      <c r="O88" s="11"/>
      <c r="P88" s="7">
        <v>48055.03</v>
      </c>
      <c r="Q88" s="2"/>
      <c r="R88" s="6">
        <f t="shared" si="35"/>
        <v>5.9700082773793191E-2</v>
      </c>
      <c r="S88" s="2"/>
      <c r="T88" s="7">
        <v>40462.959999999999</v>
      </c>
      <c r="U88" s="2"/>
      <c r="V88" s="6">
        <f t="shared" si="36"/>
        <v>7.6350474289320777E-2</v>
      </c>
      <c r="W88" s="2"/>
      <c r="X88" s="7">
        <f t="shared" si="37"/>
        <v>7592.07</v>
      </c>
      <c r="Y88" s="2"/>
      <c r="Z88" s="6">
        <f t="shared" si="38"/>
        <v>0.18763011900266319</v>
      </c>
    </row>
    <row r="89" spans="1:26" s="24" customFormat="1" hidden="1" outlineLevel="2" x14ac:dyDescent="0.25">
      <c r="A89" s="28"/>
      <c r="B89" s="11" t="str">
        <f>CONCATENATE("          ", "6004", " - ", "STAFF HOURLY")</f>
        <v xml:space="preserve">          6004 - STAFF HOURLY</v>
      </c>
      <c r="C89" s="11"/>
      <c r="D89" s="7">
        <v>8783.39</v>
      </c>
      <c r="E89" s="2"/>
      <c r="F89" s="6">
        <f t="shared" si="31"/>
        <v>3.0789762478203964E-2</v>
      </c>
      <c r="G89" s="2"/>
      <c r="H89" s="7">
        <v>9691.51</v>
      </c>
      <c r="I89" s="2"/>
      <c r="J89" s="6">
        <f t="shared" si="32"/>
        <v>0.10331949309482366</v>
      </c>
      <c r="K89" s="2"/>
      <c r="L89" s="7">
        <f t="shared" si="33"/>
        <v>-908.1200000000008</v>
      </c>
      <c r="M89" s="2"/>
      <c r="N89" s="6">
        <f t="shared" si="34"/>
        <v>-9.3702632510310649E-2</v>
      </c>
      <c r="O89" s="11"/>
      <c r="P89" s="7">
        <v>24997.119999999999</v>
      </c>
      <c r="Q89" s="2"/>
      <c r="R89" s="6">
        <f t="shared" si="35"/>
        <v>3.1054608291919517E-2</v>
      </c>
      <c r="S89" s="2"/>
      <c r="T89" s="7">
        <v>23803.55</v>
      </c>
      <c r="U89" s="2"/>
      <c r="V89" s="6">
        <f t="shared" si="36"/>
        <v>4.4915456809624443E-2</v>
      </c>
      <c r="W89" s="2"/>
      <c r="X89" s="7">
        <f t="shared" si="37"/>
        <v>1193.5699999999997</v>
      </c>
      <c r="Y89" s="2"/>
      <c r="Z89" s="6">
        <f t="shared" si="38"/>
        <v>5.0142520758458285E-2</v>
      </c>
    </row>
    <row r="90" spans="1:26" s="24" customFormat="1" hidden="1" outlineLevel="2" x14ac:dyDescent="0.25">
      <c r="A90" s="28"/>
      <c r="B90" s="11" t="str">
        <f>CONCATENATE("          ", "6005", " - ", "TEMPORARY WAGES-HOURLY")</f>
        <v xml:space="preserve">          6005 - TEMPORARY WAGES-HOURLY</v>
      </c>
      <c r="C90" s="11"/>
      <c r="D90" s="7">
        <v>2868.78</v>
      </c>
      <c r="E90" s="2"/>
      <c r="F90" s="6">
        <f t="shared" si="31"/>
        <v>1.005637399708108E-2</v>
      </c>
      <c r="G90" s="2"/>
      <c r="H90" s="7">
        <v>5283.11</v>
      </c>
      <c r="I90" s="2"/>
      <c r="J90" s="6">
        <f t="shared" si="32"/>
        <v>5.6322311710372663E-2</v>
      </c>
      <c r="K90" s="2"/>
      <c r="L90" s="7">
        <f t="shared" si="33"/>
        <v>-2414.3299999999995</v>
      </c>
      <c r="M90" s="2"/>
      <c r="N90" s="6">
        <f t="shared" si="34"/>
        <v>-0.4569902954888313</v>
      </c>
      <c r="O90" s="11"/>
      <c r="P90" s="7">
        <v>7815.16</v>
      </c>
      <c r="Q90" s="2"/>
      <c r="R90" s="6">
        <f t="shared" si="35"/>
        <v>9.7089877769390136E-3</v>
      </c>
      <c r="S90" s="2"/>
      <c r="T90" s="7">
        <v>9409.18</v>
      </c>
      <c r="U90" s="2"/>
      <c r="V90" s="6">
        <f t="shared" si="36"/>
        <v>1.7754394529554716E-2</v>
      </c>
      <c r="W90" s="2"/>
      <c r="X90" s="7">
        <f t="shared" si="37"/>
        <v>-1594.0200000000004</v>
      </c>
      <c r="Y90" s="2"/>
      <c r="Z90" s="6">
        <f t="shared" si="38"/>
        <v>-0.16941114953694161</v>
      </c>
    </row>
    <row r="91" spans="1:26" s="24" customFormat="1" hidden="1" outlineLevel="2" x14ac:dyDescent="0.25">
      <c r="A91" s="28"/>
      <c r="B91" s="11" t="str">
        <f>CONCATENATE("          ", "6007", " - ", "STUDENT HOURLY")</f>
        <v xml:space="preserve">          6007 - STUDENT HOURLY</v>
      </c>
      <c r="C91" s="11"/>
      <c r="D91" s="7">
        <v>20833.89</v>
      </c>
      <c r="E91" s="2"/>
      <c r="F91" s="6">
        <f t="shared" si="31"/>
        <v>7.3032226121922048E-2</v>
      </c>
      <c r="G91" s="2"/>
      <c r="H91" s="7">
        <v>4365.2299999999996</v>
      </c>
      <c r="I91" s="2"/>
      <c r="J91" s="6">
        <f t="shared" si="32"/>
        <v>4.6536953564750697E-2</v>
      </c>
      <c r="K91" s="2"/>
      <c r="L91" s="7">
        <f t="shared" si="33"/>
        <v>16468.66</v>
      </c>
      <c r="M91" s="2"/>
      <c r="N91" s="6">
        <f t="shared" si="34"/>
        <v>3.7726900988034999</v>
      </c>
      <c r="O91" s="11"/>
      <c r="P91" s="7">
        <v>64993.67</v>
      </c>
      <c r="Q91" s="2"/>
      <c r="R91" s="6">
        <f t="shared" si="35"/>
        <v>8.0743420174175295E-2</v>
      </c>
      <c r="S91" s="2"/>
      <c r="T91" s="7">
        <v>14014.53</v>
      </c>
      <c r="U91" s="2"/>
      <c r="V91" s="6">
        <f t="shared" si="36"/>
        <v>2.6444333594030561E-2</v>
      </c>
      <c r="W91" s="2"/>
      <c r="X91" s="7">
        <f t="shared" si="37"/>
        <v>50979.14</v>
      </c>
      <c r="Y91" s="2"/>
      <c r="Z91" s="6">
        <f t="shared" si="38"/>
        <v>3.6375918421809361</v>
      </c>
    </row>
    <row r="92" spans="1:26" s="24" customFormat="1" hidden="1" outlineLevel="2" x14ac:dyDescent="0.25">
      <c r="A92" s="28"/>
      <c r="B92" s="11" t="str">
        <f>CONCATENATE("          ", "6008", " - ", "STUDENT HOURLY-FICA EXEMPT")</f>
        <v xml:space="preserve">          6008 - STUDENT HOURLY-FICA EXEMPT</v>
      </c>
      <c r="C92" s="11"/>
      <c r="D92" s="7">
        <v>5366.07</v>
      </c>
      <c r="E92" s="2"/>
      <c r="F92" s="6">
        <f t="shared" si="31"/>
        <v>1.8810507189298886E-2</v>
      </c>
      <c r="G92" s="2"/>
      <c r="H92" s="7">
        <v>684.52</v>
      </c>
      <c r="I92" s="2"/>
      <c r="J92" s="6">
        <f t="shared" si="32"/>
        <v>7.297547999565464E-3</v>
      </c>
      <c r="K92" s="2"/>
      <c r="L92" s="7">
        <f t="shared" si="33"/>
        <v>4681.5499999999993</v>
      </c>
      <c r="M92" s="2"/>
      <c r="N92" s="6">
        <f t="shared" si="34"/>
        <v>6.8391719745222925</v>
      </c>
      <c r="O92" s="11"/>
      <c r="P92" s="7">
        <v>22061.21</v>
      </c>
      <c r="Q92" s="2"/>
      <c r="R92" s="6">
        <f t="shared" si="35"/>
        <v>2.7407246714652639E-2</v>
      </c>
      <c r="S92" s="2"/>
      <c r="T92" s="7">
        <v>1023.56</v>
      </c>
      <c r="U92" s="2"/>
      <c r="V92" s="6">
        <f t="shared" si="36"/>
        <v>1.9313785116950705E-3</v>
      </c>
      <c r="W92" s="2"/>
      <c r="X92" s="7">
        <f t="shared" si="37"/>
        <v>21037.649999999998</v>
      </c>
      <c r="Y92" s="2"/>
      <c r="Z92" s="6">
        <f t="shared" si="38"/>
        <v>20.553411622181404</v>
      </c>
    </row>
    <row r="93" spans="1:26" s="27" customFormat="1" outlineLevel="1" collapsed="1" x14ac:dyDescent="0.25">
      <c r="A93" s="29"/>
      <c r="B93" s="14" t="str">
        <f>CONCATENATE("     ","Advertising/Promo                                 ")</f>
        <v xml:space="preserve">     Advertising/Promo                                 </v>
      </c>
      <c r="C93" s="14"/>
      <c r="D93" s="1">
        <f>SUM(OSRRefD22_2x_0)</f>
        <v>110.26</v>
      </c>
      <c r="E93" s="1"/>
      <c r="F93" s="5">
        <f t="shared" ref="F93:F97" si="39">IF(D$12=0,0,D93/D$12)</f>
        <v>3.8651126852465501E-4</v>
      </c>
      <c r="G93" s="1"/>
      <c r="H93" s="1">
        <f>SUM(OSRRefH22_2x_0)</f>
        <v>391.39</v>
      </c>
      <c r="I93" s="1"/>
      <c r="J93" s="5">
        <f t="shared" ref="J93:J97" si="40">IF(H$12=0,0,H93/H$12)</f>
        <v>4.1725403370974209E-3</v>
      </c>
      <c r="K93" s="1"/>
      <c r="L93" s="1">
        <f t="shared" ref="L93:L97" si="41">+D93-H93</f>
        <v>-281.13</v>
      </c>
      <c r="M93" s="1"/>
      <c r="N93" s="5">
        <f t="shared" ref="N93:N97" si="42">IF(H93=0,0,L93/H93)</f>
        <v>-0.71828610848514274</v>
      </c>
      <c r="O93" s="14"/>
      <c r="P93" s="1">
        <f>SUM(OSRRefP22_2x_0)</f>
        <v>1377.01</v>
      </c>
      <c r="Q93" s="1"/>
      <c r="R93" s="5">
        <f t="shared" ref="R93:R97" si="43">IF(P$12=0,0,P93/P$12)</f>
        <v>1.7106973188933804E-3</v>
      </c>
      <c r="S93" s="1"/>
      <c r="T93" s="1">
        <f>SUM(OSRRefT22_2x_0)</f>
        <v>11033.71</v>
      </c>
      <c r="U93" s="1"/>
      <c r="V93" s="5">
        <f t="shared" ref="V93:V97" si="44">IF(T$12=0,0,T93/T$12)</f>
        <v>2.0819756925119209E-2</v>
      </c>
      <c r="W93" s="1"/>
      <c r="X93" s="1">
        <f t="shared" ref="X93:X97" si="45">+P93-T93</f>
        <v>-9656.6999999999989</v>
      </c>
      <c r="Y93" s="1"/>
      <c r="Z93" s="5">
        <f t="shared" ref="Z93:Z97" si="46">IF(T93=0,0,X93/T93)</f>
        <v>-0.87519972883100972</v>
      </c>
    </row>
    <row r="94" spans="1:26" s="24" customFormat="1" hidden="1" outlineLevel="2" x14ac:dyDescent="0.25">
      <c r="A94" s="28"/>
      <c r="B94" s="11" t="str">
        <f>CONCATENATE("          ", "6362", " - ", "ADVERTISING EXPENSE")</f>
        <v xml:space="preserve">          6362 - ADVERTISING EXPENSE</v>
      </c>
      <c r="C94" s="11"/>
      <c r="D94" s="7">
        <v>110.26</v>
      </c>
      <c r="E94" s="2"/>
      <c r="F94" s="6">
        <f t="shared" si="39"/>
        <v>3.8651126852465501E-4</v>
      </c>
      <c r="G94" s="2"/>
      <c r="H94" s="7">
        <v>391.39</v>
      </c>
      <c r="I94" s="2"/>
      <c r="J94" s="6">
        <f t="shared" si="40"/>
        <v>4.1725403370974209E-3</v>
      </c>
      <c r="K94" s="2"/>
      <c r="L94" s="7">
        <f t="shared" si="41"/>
        <v>-281.13</v>
      </c>
      <c r="M94" s="2"/>
      <c r="N94" s="6">
        <f t="shared" si="42"/>
        <v>-0.71828610848514274</v>
      </c>
      <c r="O94" s="11"/>
      <c r="P94" s="7">
        <v>1377.01</v>
      </c>
      <c r="Q94" s="2"/>
      <c r="R94" s="6">
        <f t="shared" si="43"/>
        <v>1.7106973188933804E-3</v>
      </c>
      <c r="S94" s="2"/>
      <c r="T94" s="7">
        <v>11033.71</v>
      </c>
      <c r="U94" s="2"/>
      <c r="V94" s="6">
        <f t="shared" si="44"/>
        <v>2.0819756925119209E-2</v>
      </c>
      <c r="W94" s="2"/>
      <c r="X94" s="7">
        <f t="shared" si="45"/>
        <v>-9656.6999999999989</v>
      </c>
      <c r="Y94" s="2"/>
      <c r="Z94" s="6">
        <f t="shared" si="46"/>
        <v>-0.87519972883100972</v>
      </c>
    </row>
    <row r="95" spans="1:26" s="27" customFormat="1" outlineLevel="1" collapsed="1" x14ac:dyDescent="0.25">
      <c r="A95" s="29"/>
      <c r="B95" s="14" t="str">
        <f>CONCATENATE("     ","Discounts and Markdowns                           ")</f>
        <v xml:space="preserve">     Discounts and Markdowns                           </v>
      </c>
      <c r="C95" s="14"/>
      <c r="D95" s="1">
        <f>SUM(OSRRefD22_3x_0)</f>
        <v>66.11</v>
      </c>
      <c r="E95" s="1"/>
      <c r="F95" s="5">
        <f t="shared" si="39"/>
        <v>2.3174551026813842E-4</v>
      </c>
      <c r="G95" s="1"/>
      <c r="H95" s="1">
        <f>SUM(OSRRefH22_3x_0)</f>
        <v>0</v>
      </c>
      <c r="I95" s="1"/>
      <c r="J95" s="5">
        <f t="shared" si="40"/>
        <v>0</v>
      </c>
      <c r="K95" s="1"/>
      <c r="L95" s="1">
        <f t="shared" si="41"/>
        <v>66.11</v>
      </c>
      <c r="M95" s="1"/>
      <c r="N95" s="5">
        <f t="shared" si="42"/>
        <v>0</v>
      </c>
      <c r="O95" s="14"/>
      <c r="P95" s="1">
        <f>SUM(OSRRefP22_3x_0)</f>
        <v>0</v>
      </c>
      <c r="Q95" s="1"/>
      <c r="R95" s="5">
        <f t="shared" si="43"/>
        <v>0</v>
      </c>
      <c r="S95" s="1"/>
      <c r="T95" s="1">
        <f>SUM(OSRRefT22_3x_0)</f>
        <v>0</v>
      </c>
      <c r="U95" s="1"/>
      <c r="V95" s="5">
        <f t="shared" si="44"/>
        <v>0</v>
      </c>
      <c r="W95" s="1"/>
      <c r="X95" s="1">
        <f t="shared" si="45"/>
        <v>0</v>
      </c>
      <c r="Y95" s="1"/>
      <c r="Z95" s="5">
        <f t="shared" si="46"/>
        <v>0</v>
      </c>
    </row>
    <row r="96" spans="1:26" s="24" customFormat="1" hidden="1" outlineLevel="2" x14ac:dyDescent="0.25">
      <c r="A96" s="28"/>
      <c r="B96" s="11" t="str">
        <f>CONCATENATE("          ", "6382", " - ", "DISCOUNTS/MARK DOWNS")</f>
        <v xml:space="preserve">          6382 - DISCOUNTS/MARK DOWNS</v>
      </c>
      <c r="C96" s="11"/>
      <c r="D96" s="7"/>
      <c r="E96" s="2"/>
      <c r="F96" s="6">
        <f t="shared" si="39"/>
        <v>0</v>
      </c>
      <c r="G96" s="2"/>
      <c r="H96" s="7">
        <v>0</v>
      </c>
      <c r="I96" s="2"/>
      <c r="J96" s="6">
        <f t="shared" si="40"/>
        <v>0</v>
      </c>
      <c r="K96" s="2"/>
      <c r="L96" s="7">
        <f t="shared" si="41"/>
        <v>0</v>
      </c>
      <c r="M96" s="2"/>
      <c r="N96" s="6">
        <f t="shared" si="42"/>
        <v>0</v>
      </c>
      <c r="O96" s="11"/>
      <c r="P96" s="7"/>
      <c r="Q96" s="2"/>
      <c r="R96" s="6">
        <f t="shared" si="43"/>
        <v>0</v>
      </c>
      <c r="S96" s="2"/>
      <c r="T96" s="7">
        <v>0</v>
      </c>
      <c r="U96" s="2"/>
      <c r="V96" s="6">
        <f t="shared" si="44"/>
        <v>0</v>
      </c>
      <c r="W96" s="2"/>
      <c r="X96" s="7">
        <f t="shared" si="45"/>
        <v>0</v>
      </c>
      <c r="Y96" s="2"/>
      <c r="Z96" s="6">
        <f t="shared" si="46"/>
        <v>0</v>
      </c>
    </row>
    <row r="97" spans="1:26" s="24" customFormat="1" hidden="1" outlineLevel="2" x14ac:dyDescent="0.25">
      <c r="A97" s="28"/>
      <c r="B97" s="11" t="str">
        <f>CONCATENATE("          ", "9175", " - ", "EARNED DISCOUNTS")</f>
        <v xml:space="preserve">          9175 - EARNED DISCOUNTS</v>
      </c>
      <c r="C97" s="11"/>
      <c r="D97" s="7">
        <v>66.11</v>
      </c>
      <c r="E97" s="2"/>
      <c r="F97" s="6">
        <f t="shared" si="39"/>
        <v>2.3174551026813842E-4</v>
      </c>
      <c r="G97" s="2"/>
      <c r="H97" s="7"/>
      <c r="I97" s="2"/>
      <c r="J97" s="6">
        <f t="shared" si="40"/>
        <v>0</v>
      </c>
      <c r="K97" s="2"/>
      <c r="L97" s="7">
        <f t="shared" si="41"/>
        <v>66.11</v>
      </c>
      <c r="M97" s="2"/>
      <c r="N97" s="6">
        <f t="shared" si="42"/>
        <v>0</v>
      </c>
      <c r="O97" s="11"/>
      <c r="P97" s="7">
        <v>0</v>
      </c>
      <c r="Q97" s="2"/>
      <c r="R97" s="6">
        <f t="shared" si="43"/>
        <v>0</v>
      </c>
      <c r="S97" s="2"/>
      <c r="T97" s="7"/>
      <c r="U97" s="2"/>
      <c r="V97" s="6">
        <f t="shared" si="44"/>
        <v>0</v>
      </c>
      <c r="W97" s="2"/>
      <c r="X97" s="7">
        <f t="shared" si="45"/>
        <v>0</v>
      </c>
      <c r="Y97" s="2"/>
      <c r="Z97" s="6">
        <f t="shared" si="46"/>
        <v>0</v>
      </c>
    </row>
    <row r="98" spans="1:26" s="27" customFormat="1" outlineLevel="1" collapsed="1" x14ac:dyDescent="0.25">
      <c r="A98" s="29"/>
      <c r="B98" s="14" t="str">
        <f>CONCATENATE("     ","Employees' Appreciation                           ")</f>
        <v xml:space="preserve">     Employees' Appreciation                           </v>
      </c>
      <c r="C98" s="14"/>
      <c r="D98" s="1">
        <f>SUM(OSRRefD22_4x_0)</f>
        <v>0</v>
      </c>
      <c r="E98" s="1"/>
      <c r="F98" s="5">
        <f t="shared" ref="F98:F102" si="47">IF(D$12=0,0,D98/D$12)</f>
        <v>0</v>
      </c>
      <c r="G98" s="1"/>
      <c r="H98" s="1">
        <f>SUM(OSRRefH22_4x_0)</f>
        <v>0</v>
      </c>
      <c r="I98" s="1"/>
      <c r="J98" s="5">
        <f t="shared" ref="J98:J102" si="48">IF(H$12=0,0,H98/H$12)</f>
        <v>0</v>
      </c>
      <c r="K98" s="1"/>
      <c r="L98" s="1">
        <f t="shared" ref="L98:L102" si="49">+D98-H98</f>
        <v>0</v>
      </c>
      <c r="M98" s="1"/>
      <c r="N98" s="5">
        <f t="shared" ref="N98:N102" si="50">IF(H98=0,0,L98/H98)</f>
        <v>0</v>
      </c>
      <c r="O98" s="14"/>
      <c r="P98" s="1">
        <f>SUM(OSRRefP22_4x_0)</f>
        <v>216.44</v>
      </c>
      <c r="Q98" s="1"/>
      <c r="R98" s="5">
        <f t="shared" ref="R98:R102" si="51">IF(P$12=0,0,P98/P$12)</f>
        <v>2.6888935280156516E-4</v>
      </c>
      <c r="S98" s="1"/>
      <c r="T98" s="1">
        <f>SUM(OSRRefT22_4x_0)</f>
        <v>0</v>
      </c>
      <c r="U98" s="1"/>
      <c r="V98" s="5">
        <f t="shared" ref="V98:V102" si="52">IF(T$12=0,0,T98/T$12)</f>
        <v>0</v>
      </c>
      <c r="W98" s="1"/>
      <c r="X98" s="1">
        <f t="shared" ref="X98:X102" si="53">+P98-T98</f>
        <v>216.44</v>
      </c>
      <c r="Y98" s="1"/>
      <c r="Z98" s="5">
        <f t="shared" ref="Z98:Z102" si="54">IF(T98=0,0,X98/T98)</f>
        <v>0</v>
      </c>
    </row>
    <row r="99" spans="1:26" s="24" customFormat="1" hidden="1" outlineLevel="2" x14ac:dyDescent="0.25">
      <c r="A99" s="28"/>
      <c r="B99" s="11" t="str">
        <f>CONCATENATE("          ", "6277", " - ", "EMPLOYEE APPRECIATION")</f>
        <v xml:space="preserve">          6277 - EMPLOYEE APPRECIATION</v>
      </c>
      <c r="C99" s="11"/>
      <c r="D99" s="7"/>
      <c r="E99" s="2"/>
      <c r="F99" s="6">
        <f t="shared" si="47"/>
        <v>0</v>
      </c>
      <c r="G99" s="2"/>
      <c r="H99" s="7"/>
      <c r="I99" s="2"/>
      <c r="J99" s="6">
        <f t="shared" si="48"/>
        <v>0</v>
      </c>
      <c r="K99" s="2"/>
      <c r="L99" s="7">
        <f t="shared" si="49"/>
        <v>0</v>
      </c>
      <c r="M99" s="2"/>
      <c r="N99" s="6">
        <f t="shared" si="50"/>
        <v>0</v>
      </c>
      <c r="O99" s="11"/>
      <c r="P99" s="7">
        <v>216.44</v>
      </c>
      <c r="Q99" s="2"/>
      <c r="R99" s="6">
        <f t="shared" si="51"/>
        <v>2.6888935280156516E-4</v>
      </c>
      <c r="S99" s="2"/>
      <c r="T99" s="7"/>
      <c r="U99" s="2"/>
      <c r="V99" s="6">
        <f t="shared" si="52"/>
        <v>0</v>
      </c>
      <c r="W99" s="2"/>
      <c r="X99" s="7">
        <f t="shared" si="53"/>
        <v>216.44</v>
      </c>
      <c r="Y99" s="2"/>
      <c r="Z99" s="6">
        <f t="shared" si="54"/>
        <v>0</v>
      </c>
    </row>
    <row r="100" spans="1:26" s="27" customFormat="1" outlineLevel="1" collapsed="1" x14ac:dyDescent="0.25">
      <c r="A100" s="29"/>
      <c r="B100" s="14" t="str">
        <f>CONCATENATE("     ","Freight out/Postage                               ")</f>
        <v xml:space="preserve">     Freight out/Postage                               </v>
      </c>
      <c r="C100" s="14"/>
      <c r="D100" s="1">
        <f>SUM(OSRRefD22_5x_0)</f>
        <v>32.659999999999997</v>
      </c>
      <c r="E100" s="1"/>
      <c r="F100" s="5">
        <f t="shared" si="47"/>
        <v>1.1448810112475269E-4</v>
      </c>
      <c r="G100" s="1"/>
      <c r="H100" s="1">
        <f>SUM(OSRRefH22_5x_0)</f>
        <v>30.66</v>
      </c>
      <c r="I100" s="1"/>
      <c r="J100" s="5">
        <f t="shared" si="48"/>
        <v>3.2686089766066314E-4</v>
      </c>
      <c r="K100" s="1"/>
      <c r="L100" s="1">
        <f t="shared" si="49"/>
        <v>1.9999999999999964</v>
      </c>
      <c r="M100" s="1"/>
      <c r="N100" s="5">
        <f t="shared" si="50"/>
        <v>6.5231572080887035E-2</v>
      </c>
      <c r="O100" s="14"/>
      <c r="P100" s="1">
        <f>SUM(OSRRefP22_5x_0)</f>
        <v>905.94999999999993</v>
      </c>
      <c r="Q100" s="1"/>
      <c r="R100" s="5">
        <f t="shared" si="51"/>
        <v>1.125486551333293E-3</v>
      </c>
      <c r="S100" s="1"/>
      <c r="T100" s="1">
        <f>SUM(OSRRefT22_5x_0)</f>
        <v>81.11</v>
      </c>
      <c r="U100" s="1"/>
      <c r="V100" s="5">
        <f t="shared" si="52"/>
        <v>1.5304829329359021E-4</v>
      </c>
      <c r="W100" s="1"/>
      <c r="X100" s="1">
        <f t="shared" si="53"/>
        <v>824.83999999999992</v>
      </c>
      <c r="Y100" s="1"/>
      <c r="Z100" s="5">
        <f t="shared" si="54"/>
        <v>10.169399580816174</v>
      </c>
    </row>
    <row r="101" spans="1:26" s="24" customFormat="1" hidden="1" outlineLevel="2" x14ac:dyDescent="0.25">
      <c r="A101" s="28"/>
      <c r="B101" s="11" t="str">
        <f>CONCATENATE("          ", "6305", " - ", "FREIGHT OUT")</f>
        <v xml:space="preserve">          6305 - FREIGHT OUT</v>
      </c>
      <c r="C101" s="11"/>
      <c r="D101" s="7">
        <v>8.66</v>
      </c>
      <c r="E101" s="2"/>
      <c r="F101" s="6">
        <f t="shared" si="47"/>
        <v>3.0357224609318995E-5</v>
      </c>
      <c r="G101" s="2"/>
      <c r="H101" s="7">
        <v>30.66</v>
      </c>
      <c r="I101" s="2"/>
      <c r="J101" s="6">
        <f t="shared" si="48"/>
        <v>3.2686089766066314E-4</v>
      </c>
      <c r="K101" s="2"/>
      <c r="L101" s="7">
        <f t="shared" si="49"/>
        <v>-22</v>
      </c>
      <c r="M101" s="2"/>
      <c r="N101" s="6">
        <f t="shared" si="50"/>
        <v>-0.7175472928897586</v>
      </c>
      <c r="O101" s="11"/>
      <c r="P101" s="7">
        <v>870.53</v>
      </c>
      <c r="Q101" s="2"/>
      <c r="R101" s="6">
        <f t="shared" si="51"/>
        <v>1.0814833131322608E-3</v>
      </c>
      <c r="S101" s="2"/>
      <c r="T101" s="7">
        <v>81.11</v>
      </c>
      <c r="U101" s="2"/>
      <c r="V101" s="6">
        <f t="shared" si="52"/>
        <v>1.5304829329359021E-4</v>
      </c>
      <c r="W101" s="2"/>
      <c r="X101" s="7">
        <f t="shared" si="53"/>
        <v>789.42</v>
      </c>
      <c r="Y101" s="2"/>
      <c r="Z101" s="6">
        <f t="shared" si="54"/>
        <v>9.7327086672420169</v>
      </c>
    </row>
    <row r="102" spans="1:26" s="24" customFormat="1" hidden="1" outlineLevel="2" x14ac:dyDescent="0.25">
      <c r="A102" s="28"/>
      <c r="B102" s="11" t="str">
        <f>CONCATENATE("          ", "6307", " - ", "POSTAGE")</f>
        <v xml:space="preserve">          6307 - POSTAGE</v>
      </c>
      <c r="C102" s="11"/>
      <c r="D102" s="7">
        <v>24</v>
      </c>
      <c r="E102" s="2"/>
      <c r="F102" s="6">
        <f t="shared" si="47"/>
        <v>8.4130876515433703E-5</v>
      </c>
      <c r="G102" s="2"/>
      <c r="H102" s="7"/>
      <c r="I102" s="2"/>
      <c r="J102" s="6">
        <f t="shared" si="48"/>
        <v>0</v>
      </c>
      <c r="K102" s="2"/>
      <c r="L102" s="7">
        <f t="shared" si="49"/>
        <v>24</v>
      </c>
      <c r="M102" s="2"/>
      <c r="N102" s="6">
        <f t="shared" si="50"/>
        <v>0</v>
      </c>
      <c r="O102" s="11"/>
      <c r="P102" s="7">
        <v>35.42</v>
      </c>
      <c r="Q102" s="2"/>
      <c r="R102" s="6">
        <f t="shared" si="51"/>
        <v>4.4003238201032336E-5</v>
      </c>
      <c r="S102" s="2"/>
      <c r="T102" s="7"/>
      <c r="U102" s="2"/>
      <c r="V102" s="6">
        <f t="shared" si="52"/>
        <v>0</v>
      </c>
      <c r="W102" s="2"/>
      <c r="X102" s="7">
        <f t="shared" si="53"/>
        <v>35.42</v>
      </c>
      <c r="Y102" s="2"/>
      <c r="Z102" s="6">
        <f t="shared" si="54"/>
        <v>0</v>
      </c>
    </row>
    <row r="103" spans="1:26" s="27" customFormat="1" outlineLevel="1" collapsed="1" x14ac:dyDescent="0.25">
      <c r="A103" s="29"/>
      <c r="B103" s="14" t="str">
        <f>CONCATENATE("     ","Inventory Adjustment                              ")</f>
        <v xml:space="preserve">     Inventory Adjustment                              </v>
      </c>
      <c r="C103" s="14"/>
      <c r="D103" s="1">
        <f>SUM(OSRRefD22_6x_0)</f>
        <v>3350</v>
      </c>
      <c r="E103" s="1"/>
      <c r="F103" s="5">
        <f t="shared" ref="F103:F105" si="55">IF(D$12=0,0,D103/D$12)</f>
        <v>1.1743268180279287E-2</v>
      </c>
      <c r="G103" s="1"/>
      <c r="H103" s="1">
        <f>SUM(OSRRefH22_6x_0)</f>
        <v>1000</v>
      </c>
      <c r="I103" s="1"/>
      <c r="J103" s="5">
        <f t="shared" ref="J103:J105" si="56">IF(H$12=0,0,H103/H$12)</f>
        <v>1.0660825103087513E-2</v>
      </c>
      <c r="K103" s="1"/>
      <c r="L103" s="1">
        <f t="shared" ref="L103:L105" si="57">+D103-H103</f>
        <v>2350</v>
      </c>
      <c r="M103" s="1"/>
      <c r="N103" s="5">
        <f t="shared" ref="N103:N105" si="58">IF(H103=0,0,L103/H103)</f>
        <v>2.35</v>
      </c>
      <c r="O103" s="14"/>
      <c r="P103" s="1">
        <f>SUM(OSRRefP22_6x_0)</f>
        <v>10050</v>
      </c>
      <c r="Q103" s="1"/>
      <c r="R103" s="5">
        <f t="shared" ref="R103:R105" si="59">IF(P$12=0,0,P103/P$12)</f>
        <v>1.2485390850377611E-2</v>
      </c>
      <c r="S103" s="1"/>
      <c r="T103" s="1">
        <f>SUM(OSRRefT22_6x_0)</f>
        <v>3000</v>
      </c>
      <c r="U103" s="1"/>
      <c r="V103" s="5">
        <f t="shared" ref="V103:V105" si="60">IF(T$12=0,0,T103/T$12)</f>
        <v>5.6607678446649072E-3</v>
      </c>
      <c r="W103" s="1"/>
      <c r="X103" s="1">
        <f t="shared" ref="X103:X105" si="61">+P103-T103</f>
        <v>7050</v>
      </c>
      <c r="Y103" s="1"/>
      <c r="Z103" s="5">
        <f t="shared" ref="Z103:Z105" si="62">IF(T103=0,0,X103/T103)</f>
        <v>2.35</v>
      </c>
    </row>
    <row r="104" spans="1:26" s="24" customFormat="1" hidden="1" outlineLevel="2" x14ac:dyDescent="0.25">
      <c r="A104" s="28"/>
      <c r="B104" s="11" t="str">
        <f>CONCATENATE("          ", "6408", " - ", "INVENTORY ADJUSTMENT")</f>
        <v xml:space="preserve">          6408 - INVENTORY ADJUSTMENT</v>
      </c>
      <c r="C104" s="11"/>
      <c r="D104" s="7">
        <v>3350</v>
      </c>
      <c r="E104" s="2"/>
      <c r="F104" s="6">
        <f t="shared" si="55"/>
        <v>1.1743268180279287E-2</v>
      </c>
      <c r="G104" s="2"/>
      <c r="H104" s="7">
        <v>1000</v>
      </c>
      <c r="I104" s="2"/>
      <c r="J104" s="6">
        <f t="shared" si="56"/>
        <v>1.0660825103087513E-2</v>
      </c>
      <c r="K104" s="2"/>
      <c r="L104" s="7">
        <f t="shared" si="57"/>
        <v>2350</v>
      </c>
      <c r="M104" s="2"/>
      <c r="N104" s="6">
        <f t="shared" si="58"/>
        <v>2.35</v>
      </c>
      <c r="O104" s="11"/>
      <c r="P104" s="7">
        <v>10050</v>
      </c>
      <c r="Q104" s="2"/>
      <c r="R104" s="6">
        <f t="shared" si="59"/>
        <v>1.2485390850377611E-2</v>
      </c>
      <c r="S104" s="2"/>
      <c r="T104" s="7">
        <v>3000</v>
      </c>
      <c r="U104" s="2"/>
      <c r="V104" s="6">
        <f t="shared" si="60"/>
        <v>5.6607678446649072E-3</v>
      </c>
      <c r="W104" s="2"/>
      <c r="X104" s="7">
        <f t="shared" si="61"/>
        <v>7050</v>
      </c>
      <c r="Y104" s="2"/>
      <c r="Z104" s="6">
        <f t="shared" si="62"/>
        <v>2.35</v>
      </c>
    </row>
    <row r="105" spans="1:26" s="24" customFormat="1" hidden="1" outlineLevel="2" x14ac:dyDescent="0.25">
      <c r="A105" s="28"/>
      <c r="B105" s="11" t="str">
        <f>CONCATENATE("          ", "7741", " - ", "INV. SHRINKAGE-LOGO GIFTS")</f>
        <v xml:space="preserve">          7741 - INV. SHRINKAGE-LOGO GIFTS</v>
      </c>
      <c r="C105" s="11"/>
      <c r="D105" s="7"/>
      <c r="E105" s="2"/>
      <c r="F105" s="6">
        <f t="shared" si="55"/>
        <v>0</v>
      </c>
      <c r="G105" s="2"/>
      <c r="H105" s="7"/>
      <c r="I105" s="2"/>
      <c r="J105" s="6">
        <f t="shared" si="56"/>
        <v>0</v>
      </c>
      <c r="K105" s="2"/>
      <c r="L105" s="7">
        <f t="shared" si="57"/>
        <v>0</v>
      </c>
      <c r="M105" s="2"/>
      <c r="N105" s="6">
        <f t="shared" si="58"/>
        <v>0</v>
      </c>
      <c r="O105" s="11"/>
      <c r="P105" s="7"/>
      <c r="Q105" s="2"/>
      <c r="R105" s="6">
        <f t="shared" si="59"/>
        <v>0</v>
      </c>
      <c r="S105" s="2"/>
      <c r="T105" s="7">
        <v>0</v>
      </c>
      <c r="U105" s="2"/>
      <c r="V105" s="6">
        <f t="shared" si="60"/>
        <v>0</v>
      </c>
      <c r="W105" s="2"/>
      <c r="X105" s="7">
        <f t="shared" si="61"/>
        <v>0</v>
      </c>
      <c r="Y105" s="2"/>
      <c r="Z105" s="6">
        <f t="shared" si="62"/>
        <v>0</v>
      </c>
    </row>
    <row r="106" spans="1:26" s="27" customFormat="1" outlineLevel="1" collapsed="1" x14ac:dyDescent="0.25">
      <c r="A106" s="29"/>
      <c r="B106" s="14" t="str">
        <f>CONCATENATE("     ","Repair and Maintenance                            ")</f>
        <v xml:space="preserve">     Repair and Maintenance                            </v>
      </c>
      <c r="C106" s="14"/>
      <c r="D106" s="1">
        <f>SUM(OSRRefD22_7x_0)</f>
        <v>0</v>
      </c>
      <c r="E106" s="1"/>
      <c r="F106" s="5">
        <f t="shared" ref="F106:F108" si="63">IF(D$12=0,0,D106/D$12)</f>
        <v>0</v>
      </c>
      <c r="G106" s="1"/>
      <c r="H106" s="1">
        <f>SUM(OSRRefH22_7x_0)</f>
        <v>0</v>
      </c>
      <c r="I106" s="1"/>
      <c r="J106" s="5">
        <f t="shared" ref="J106:J108" si="64">IF(H$12=0,0,H106/H$12)</f>
        <v>0</v>
      </c>
      <c r="K106" s="1"/>
      <c r="L106" s="1">
        <f t="shared" ref="L106:L108" si="65">+D106-H106</f>
        <v>0</v>
      </c>
      <c r="M106" s="1"/>
      <c r="N106" s="5">
        <f t="shared" ref="N106:N108" si="66">IF(H106=0,0,L106/H106)</f>
        <v>0</v>
      </c>
      <c r="O106" s="14"/>
      <c r="P106" s="1">
        <f>SUM(OSRRefP22_7x_0)</f>
        <v>9.24</v>
      </c>
      <c r="Q106" s="1"/>
      <c r="R106" s="5">
        <f t="shared" ref="R106:R108" si="67">IF(P$12=0,0,P106/P$12)</f>
        <v>1.147910561766061E-5</v>
      </c>
      <c r="S106" s="1"/>
      <c r="T106" s="1">
        <f>SUM(OSRRefT22_7x_0)</f>
        <v>0</v>
      </c>
      <c r="U106" s="1"/>
      <c r="V106" s="5">
        <f t="shared" ref="V106:V108" si="68">IF(T$12=0,0,T106/T$12)</f>
        <v>0</v>
      </c>
      <c r="W106" s="1"/>
      <c r="X106" s="1">
        <f t="shared" ref="X106:X108" si="69">+P106-T106</f>
        <v>9.24</v>
      </c>
      <c r="Y106" s="1"/>
      <c r="Z106" s="5">
        <f t="shared" ref="Z106:Z108" si="70">IF(T106=0,0,X106/T106)</f>
        <v>0</v>
      </c>
    </row>
    <row r="107" spans="1:26" s="24" customFormat="1" hidden="1" outlineLevel="2" x14ac:dyDescent="0.25">
      <c r="A107" s="28"/>
      <c r="B107" s="11" t="str">
        <f>CONCATENATE("          ", "6373", " - ", "MAINTENANCE CONTRACTS")</f>
        <v xml:space="preserve">          6373 - MAINTENANCE CONTRACTS</v>
      </c>
      <c r="C107" s="11"/>
      <c r="D107" s="7"/>
      <c r="E107" s="2"/>
      <c r="F107" s="6">
        <f t="shared" si="63"/>
        <v>0</v>
      </c>
      <c r="G107" s="2"/>
      <c r="H107" s="7"/>
      <c r="I107" s="2"/>
      <c r="J107" s="6">
        <f t="shared" si="64"/>
        <v>0</v>
      </c>
      <c r="K107" s="2"/>
      <c r="L107" s="7">
        <f t="shared" si="65"/>
        <v>0</v>
      </c>
      <c r="M107" s="2"/>
      <c r="N107" s="6">
        <f t="shared" si="66"/>
        <v>0</v>
      </c>
      <c r="O107" s="11"/>
      <c r="P107" s="7">
        <v>5.7</v>
      </c>
      <c r="Q107" s="2"/>
      <c r="R107" s="6">
        <f t="shared" si="67"/>
        <v>7.081266452452973E-6</v>
      </c>
      <c r="S107" s="2"/>
      <c r="T107" s="7"/>
      <c r="U107" s="2"/>
      <c r="V107" s="6">
        <f t="shared" si="68"/>
        <v>0</v>
      </c>
      <c r="W107" s="2"/>
      <c r="X107" s="7">
        <f t="shared" si="69"/>
        <v>5.7</v>
      </c>
      <c r="Y107" s="2"/>
      <c r="Z107" s="6">
        <f t="shared" si="70"/>
        <v>0</v>
      </c>
    </row>
    <row r="108" spans="1:26" s="24" customFormat="1" hidden="1" outlineLevel="2" x14ac:dyDescent="0.25">
      <c r="A108" s="28"/>
      <c r="B108" s="11" t="str">
        <f>CONCATENATE("          ", "6375", " - ", "OUTSIDE REPAIRS &amp; MAINTENANCE")</f>
        <v xml:space="preserve">          6375 - OUTSIDE REPAIRS &amp; MAINTENANCE</v>
      </c>
      <c r="C108" s="11"/>
      <c r="D108" s="7"/>
      <c r="E108" s="2"/>
      <c r="F108" s="6">
        <f t="shared" si="63"/>
        <v>0</v>
      </c>
      <c r="G108" s="2"/>
      <c r="H108" s="7"/>
      <c r="I108" s="2"/>
      <c r="J108" s="6">
        <f t="shared" si="64"/>
        <v>0</v>
      </c>
      <c r="K108" s="2"/>
      <c r="L108" s="7">
        <f t="shared" si="65"/>
        <v>0</v>
      </c>
      <c r="M108" s="2"/>
      <c r="N108" s="6">
        <f t="shared" si="66"/>
        <v>0</v>
      </c>
      <c r="O108" s="11"/>
      <c r="P108" s="7">
        <v>3.54</v>
      </c>
      <c r="Q108" s="2"/>
      <c r="R108" s="6">
        <f t="shared" si="67"/>
        <v>4.3978391652076359E-6</v>
      </c>
      <c r="S108" s="2"/>
      <c r="T108" s="7"/>
      <c r="U108" s="2"/>
      <c r="V108" s="6">
        <f t="shared" si="68"/>
        <v>0</v>
      </c>
      <c r="W108" s="2"/>
      <c r="X108" s="7">
        <f t="shared" si="69"/>
        <v>3.54</v>
      </c>
      <c r="Y108" s="2"/>
      <c r="Z108" s="6">
        <f t="shared" si="70"/>
        <v>0</v>
      </c>
    </row>
    <row r="109" spans="1:26" s="27" customFormat="1" outlineLevel="1" collapsed="1" x14ac:dyDescent="0.25">
      <c r="A109" s="29"/>
      <c r="B109" s="14" t="str">
        <f>CONCATENATE("     ","Royalty &amp; Commissions                             ")</f>
        <v xml:space="preserve">     Royalty &amp; Commissions                             </v>
      </c>
      <c r="C109" s="14"/>
      <c r="D109" s="1">
        <f>SUM(OSRRefD22_8x_0)</f>
        <v>0</v>
      </c>
      <c r="E109" s="1"/>
      <c r="F109" s="5">
        <f t="shared" ref="F109:F111" si="71">IF(D$12=0,0,D109/D$12)</f>
        <v>0</v>
      </c>
      <c r="G109" s="1"/>
      <c r="H109" s="1">
        <f>SUM(OSRRefH22_8x_0)</f>
        <v>0</v>
      </c>
      <c r="I109" s="1"/>
      <c r="J109" s="5">
        <f t="shared" ref="J109:J111" si="72">IF(H$12=0,0,H109/H$12)</f>
        <v>0</v>
      </c>
      <c r="K109" s="1"/>
      <c r="L109" s="1">
        <f t="shared" ref="L109:L111" si="73">+D109-H109</f>
        <v>0</v>
      </c>
      <c r="M109" s="1"/>
      <c r="N109" s="5">
        <f t="shared" ref="N109:N111" si="74">IF(H109=0,0,L109/H109)</f>
        <v>0</v>
      </c>
      <c r="O109" s="14"/>
      <c r="P109" s="1">
        <f>SUM(OSRRefP22_8x_0)</f>
        <v>7349.0400000000009</v>
      </c>
      <c r="Q109" s="1"/>
      <c r="R109" s="5">
        <f t="shared" ref="R109:R111" si="75">IF(P$12=0,0,P109/P$12)</f>
        <v>9.1299141069710529E-3</v>
      </c>
      <c r="S109" s="1"/>
      <c r="T109" s="1">
        <f>SUM(OSRRefT22_8x_0)</f>
        <v>7922.2</v>
      </c>
      <c r="U109" s="1"/>
      <c r="V109" s="5">
        <f t="shared" ref="V109:V111" si="76">IF(T$12=0,0,T109/T$12)</f>
        <v>1.4948578339668108E-2</v>
      </c>
      <c r="W109" s="1"/>
      <c r="X109" s="1">
        <f t="shared" ref="X109:X111" si="77">+P109-T109</f>
        <v>-573.15999999999894</v>
      </c>
      <c r="Y109" s="1"/>
      <c r="Z109" s="5">
        <f t="shared" ref="Z109:Z111" si="78">IF(T109=0,0,X109/T109)</f>
        <v>-7.2348590038120594E-2</v>
      </c>
    </row>
    <row r="110" spans="1:26" s="24" customFormat="1" hidden="1" outlineLevel="2" x14ac:dyDescent="0.25">
      <c r="A110" s="28"/>
      <c r="B110" s="11" t="str">
        <f>CONCATENATE("          ", "6253", " - ", "ROYALTY DUE ATHLETICS-LRG")</f>
        <v xml:space="preserve">          6253 - ROYALTY DUE ATHLETICS-LRG</v>
      </c>
      <c r="C110" s="11"/>
      <c r="D110" s="7"/>
      <c r="E110" s="2"/>
      <c r="F110" s="6">
        <f t="shared" si="71"/>
        <v>0</v>
      </c>
      <c r="G110" s="2"/>
      <c r="H110" s="7"/>
      <c r="I110" s="2"/>
      <c r="J110" s="6">
        <f t="shared" si="72"/>
        <v>0</v>
      </c>
      <c r="K110" s="2"/>
      <c r="L110" s="7">
        <f t="shared" si="73"/>
        <v>0</v>
      </c>
      <c r="M110" s="2"/>
      <c r="N110" s="6">
        <f t="shared" si="74"/>
        <v>0</v>
      </c>
      <c r="O110" s="11"/>
      <c r="P110" s="7">
        <v>14376.54</v>
      </c>
      <c r="Q110" s="2"/>
      <c r="R110" s="6">
        <f t="shared" si="75"/>
        <v>1.7860370246376888E-2</v>
      </c>
      <c r="S110" s="2"/>
      <c r="T110" s="7">
        <v>7922.2</v>
      </c>
      <c r="U110" s="2"/>
      <c r="V110" s="6">
        <f t="shared" si="76"/>
        <v>1.4948578339668108E-2</v>
      </c>
      <c r="W110" s="2"/>
      <c r="X110" s="7">
        <f t="shared" si="77"/>
        <v>6454.3400000000011</v>
      </c>
      <c r="Y110" s="2"/>
      <c r="Z110" s="6">
        <f t="shared" si="78"/>
        <v>0.81471560930044695</v>
      </c>
    </row>
    <row r="111" spans="1:26" s="24" customFormat="1" hidden="1" outlineLevel="2" x14ac:dyDescent="0.25">
      <c r="A111" s="28"/>
      <c r="B111" s="11" t="str">
        <f>CONCATENATE("          ", "6254", " - ", "ROYALTY &amp; COMMISSIONS")</f>
        <v xml:space="preserve">          6254 - ROYALTY &amp; COMMISSIONS</v>
      </c>
      <c r="C111" s="11"/>
      <c r="D111" s="7"/>
      <c r="E111" s="2"/>
      <c r="F111" s="6">
        <f t="shared" si="71"/>
        <v>0</v>
      </c>
      <c r="G111" s="2"/>
      <c r="H111" s="7"/>
      <c r="I111" s="2"/>
      <c r="J111" s="6">
        <f t="shared" si="72"/>
        <v>0</v>
      </c>
      <c r="K111" s="2"/>
      <c r="L111" s="7">
        <f t="shared" si="73"/>
        <v>0</v>
      </c>
      <c r="M111" s="2"/>
      <c r="N111" s="6">
        <f t="shared" si="74"/>
        <v>0</v>
      </c>
      <c r="O111" s="11"/>
      <c r="P111" s="7">
        <v>-7027.5</v>
      </c>
      <c r="Q111" s="2"/>
      <c r="R111" s="6">
        <f t="shared" si="75"/>
        <v>-8.7304561394058369E-3</v>
      </c>
      <c r="S111" s="2"/>
      <c r="T111" s="7"/>
      <c r="U111" s="2"/>
      <c r="V111" s="6">
        <f t="shared" si="76"/>
        <v>0</v>
      </c>
      <c r="W111" s="2"/>
      <c r="X111" s="7">
        <f t="shared" si="77"/>
        <v>-7027.5</v>
      </c>
      <c r="Y111" s="2"/>
      <c r="Z111" s="6">
        <f t="shared" si="78"/>
        <v>0</v>
      </c>
    </row>
    <row r="112" spans="1:26" s="27" customFormat="1" outlineLevel="1" collapsed="1" x14ac:dyDescent="0.25">
      <c r="A112" s="29"/>
      <c r="B112" s="14" t="str">
        <f>CONCATENATE("     ","Subscriptions &amp; Dues                              ")</f>
        <v xml:space="preserve">     Subscriptions &amp; Dues                              </v>
      </c>
      <c r="C112" s="14"/>
      <c r="D112" s="1">
        <f>SUM(OSRRefD22_9x_0)</f>
        <v>0</v>
      </c>
      <c r="E112" s="1"/>
      <c r="F112" s="5">
        <f t="shared" ref="F112:F117" si="79">IF(D$12=0,0,D112/D$12)</f>
        <v>0</v>
      </c>
      <c r="G112" s="1"/>
      <c r="H112" s="1">
        <f>SUM(OSRRefH22_9x_0)</f>
        <v>75.73</v>
      </c>
      <c r="I112" s="1"/>
      <c r="J112" s="5">
        <f t="shared" ref="J112:J117" si="80">IF(H$12=0,0,H112/H$12)</f>
        <v>8.0734428505681733E-4</v>
      </c>
      <c r="K112" s="1"/>
      <c r="L112" s="1">
        <f t="shared" ref="L112:L117" si="81">+D112-H112</f>
        <v>-75.73</v>
      </c>
      <c r="M112" s="1"/>
      <c r="N112" s="5">
        <f t="shared" ref="N112:N117" si="82">IF(H112=0,0,L112/H112)</f>
        <v>-1</v>
      </c>
      <c r="O112" s="14"/>
      <c r="P112" s="1">
        <f>SUM(OSRRefP22_9x_0)</f>
        <v>0</v>
      </c>
      <c r="Q112" s="1"/>
      <c r="R112" s="5">
        <f t="shared" ref="R112:R117" si="83">IF(P$12=0,0,P112/P$12)</f>
        <v>0</v>
      </c>
      <c r="S112" s="1"/>
      <c r="T112" s="1">
        <f>SUM(OSRRefT22_9x_0)</f>
        <v>75.73</v>
      </c>
      <c r="U112" s="1"/>
      <c r="V112" s="5">
        <f t="shared" ref="V112:V117" si="84">IF(T$12=0,0,T112/T$12)</f>
        <v>1.4289664962549115E-4</v>
      </c>
      <c r="W112" s="1"/>
      <c r="X112" s="1">
        <f t="shared" ref="X112:X117" si="85">+P112-T112</f>
        <v>-75.73</v>
      </c>
      <c r="Y112" s="1"/>
      <c r="Z112" s="5">
        <f t="shared" ref="Z112:Z117" si="86">IF(T112=0,0,X112/T112)</f>
        <v>-1</v>
      </c>
    </row>
    <row r="113" spans="1:26" s="24" customFormat="1" hidden="1" outlineLevel="2" x14ac:dyDescent="0.25">
      <c r="A113" s="28"/>
      <c r="B113" s="11" t="str">
        <f>CONCATENATE("          ", "6275", " - ", "SUBSCRIPTIONS")</f>
        <v xml:space="preserve">          6275 - SUBSCRIPTIONS</v>
      </c>
      <c r="C113" s="11"/>
      <c r="D113" s="7"/>
      <c r="E113" s="2"/>
      <c r="F113" s="6">
        <f t="shared" si="79"/>
        <v>0</v>
      </c>
      <c r="G113" s="2"/>
      <c r="H113" s="7">
        <v>75.73</v>
      </c>
      <c r="I113" s="2"/>
      <c r="J113" s="6">
        <f t="shared" si="80"/>
        <v>8.0734428505681733E-4</v>
      </c>
      <c r="K113" s="2"/>
      <c r="L113" s="7">
        <f t="shared" si="81"/>
        <v>-75.73</v>
      </c>
      <c r="M113" s="2"/>
      <c r="N113" s="6">
        <f t="shared" si="82"/>
        <v>-1</v>
      </c>
      <c r="O113" s="11"/>
      <c r="P113" s="7"/>
      <c r="Q113" s="2"/>
      <c r="R113" s="6">
        <f t="shared" si="83"/>
        <v>0</v>
      </c>
      <c r="S113" s="2"/>
      <c r="T113" s="7">
        <v>75.73</v>
      </c>
      <c r="U113" s="2"/>
      <c r="V113" s="6">
        <f t="shared" si="84"/>
        <v>1.4289664962549115E-4</v>
      </c>
      <c r="W113" s="2"/>
      <c r="X113" s="7">
        <f t="shared" si="85"/>
        <v>-75.73</v>
      </c>
      <c r="Y113" s="2"/>
      <c r="Z113" s="6">
        <f t="shared" si="86"/>
        <v>-1</v>
      </c>
    </row>
    <row r="114" spans="1:26" s="27" customFormat="1" outlineLevel="1" collapsed="1" x14ac:dyDescent="0.25">
      <c r="A114" s="29"/>
      <c r="B114" s="14" t="str">
        <f>CONCATENATE("     ","Supplies                                          ")</f>
        <v xml:space="preserve">     Supplies                                          </v>
      </c>
      <c r="C114" s="14"/>
      <c r="D114" s="1">
        <f>SUM(OSRRefD22_10x_0)</f>
        <v>273.81</v>
      </c>
      <c r="E114" s="1"/>
      <c r="F114" s="5">
        <f t="shared" si="79"/>
        <v>9.5982813744545424E-4</v>
      </c>
      <c r="G114" s="1"/>
      <c r="H114" s="1">
        <f>SUM(OSRRefH22_10x_0)</f>
        <v>31.83</v>
      </c>
      <c r="I114" s="1"/>
      <c r="J114" s="5">
        <f t="shared" si="80"/>
        <v>3.3933406303127551E-4</v>
      </c>
      <c r="K114" s="1"/>
      <c r="L114" s="1">
        <f t="shared" si="81"/>
        <v>241.98000000000002</v>
      </c>
      <c r="M114" s="1"/>
      <c r="N114" s="5">
        <f t="shared" si="82"/>
        <v>7.6022620169651285</v>
      </c>
      <c r="O114" s="14"/>
      <c r="P114" s="1">
        <f>SUM(OSRRefP22_10x_0)</f>
        <v>5655.55</v>
      </c>
      <c r="Q114" s="1"/>
      <c r="R114" s="5">
        <f t="shared" si="83"/>
        <v>7.026044997398318E-3</v>
      </c>
      <c r="S114" s="1"/>
      <c r="T114" s="1">
        <f>SUM(OSRRefT22_10x_0)</f>
        <v>1099.74</v>
      </c>
      <c r="U114" s="1"/>
      <c r="V114" s="5">
        <f t="shared" si="84"/>
        <v>2.0751242764972615E-3</v>
      </c>
      <c r="W114" s="1"/>
      <c r="X114" s="1">
        <f t="shared" si="85"/>
        <v>4555.8100000000004</v>
      </c>
      <c r="Y114" s="1"/>
      <c r="Z114" s="5">
        <f t="shared" si="86"/>
        <v>4.1426246203648143</v>
      </c>
    </row>
    <row r="115" spans="1:26" s="24" customFormat="1" hidden="1" outlineLevel="2" x14ac:dyDescent="0.25">
      <c r="A115" s="28"/>
      <c r="B115" s="11" t="str">
        <f>CONCATENATE("          ", "6235", " - ", "COVID-19 EXPENSES")</f>
        <v xml:space="preserve">          6235 - COVID-19 EXPENSES</v>
      </c>
      <c r="C115" s="11"/>
      <c r="D115" s="7"/>
      <c r="E115" s="2"/>
      <c r="F115" s="6">
        <f t="shared" si="79"/>
        <v>0</v>
      </c>
      <c r="G115" s="2"/>
      <c r="H115" s="7"/>
      <c r="I115" s="2"/>
      <c r="J115" s="6">
        <f t="shared" si="80"/>
        <v>0</v>
      </c>
      <c r="K115" s="2"/>
      <c r="L115" s="7">
        <f t="shared" si="81"/>
        <v>0</v>
      </c>
      <c r="M115" s="2"/>
      <c r="N115" s="6">
        <f t="shared" si="82"/>
        <v>0</v>
      </c>
      <c r="O115" s="11"/>
      <c r="P115" s="7"/>
      <c r="Q115" s="2"/>
      <c r="R115" s="6">
        <f t="shared" si="83"/>
        <v>0</v>
      </c>
      <c r="S115" s="2"/>
      <c r="T115" s="7">
        <v>961.38</v>
      </c>
      <c r="U115" s="2"/>
      <c r="V115" s="6">
        <f t="shared" si="84"/>
        <v>1.814049663501316E-3</v>
      </c>
      <c r="W115" s="2"/>
      <c r="X115" s="7">
        <f t="shared" si="85"/>
        <v>-961.38</v>
      </c>
      <c r="Y115" s="2"/>
      <c r="Z115" s="6">
        <f t="shared" si="86"/>
        <v>-1</v>
      </c>
    </row>
    <row r="116" spans="1:26" s="24" customFormat="1" hidden="1" outlineLevel="2" x14ac:dyDescent="0.25">
      <c r="A116" s="28"/>
      <c r="B116" s="11" t="str">
        <f>CONCATENATE("          ", "6241", " - ", "OFFICE EXPENSE")</f>
        <v xml:space="preserve">          6241 - OFFICE EXPENSE</v>
      </c>
      <c r="C116" s="11"/>
      <c r="D116" s="7">
        <v>216.5</v>
      </c>
      <c r="E116" s="2"/>
      <c r="F116" s="6">
        <f t="shared" si="79"/>
        <v>7.5893061523297481E-4</v>
      </c>
      <c r="G116" s="2"/>
      <c r="H116" s="7">
        <v>31.83</v>
      </c>
      <c r="I116" s="2"/>
      <c r="J116" s="6">
        <f t="shared" si="80"/>
        <v>3.3933406303127551E-4</v>
      </c>
      <c r="K116" s="2"/>
      <c r="L116" s="7">
        <f t="shared" si="81"/>
        <v>184.67000000000002</v>
      </c>
      <c r="M116" s="2"/>
      <c r="N116" s="6">
        <f t="shared" si="82"/>
        <v>5.8017593465284332</v>
      </c>
      <c r="O116" s="11"/>
      <c r="P116" s="7">
        <v>397.49</v>
      </c>
      <c r="Q116" s="2"/>
      <c r="R116" s="6">
        <f t="shared" si="83"/>
        <v>4.9381273722553197E-4</v>
      </c>
      <c r="S116" s="2"/>
      <c r="T116" s="7">
        <v>138.36000000000001</v>
      </c>
      <c r="U116" s="2"/>
      <c r="V116" s="6">
        <f t="shared" si="84"/>
        <v>2.6107461299594554E-4</v>
      </c>
      <c r="W116" s="2"/>
      <c r="X116" s="7">
        <f t="shared" si="85"/>
        <v>259.13</v>
      </c>
      <c r="Y116" s="2"/>
      <c r="Z116" s="6">
        <f t="shared" si="86"/>
        <v>1.8728678808904304</v>
      </c>
    </row>
    <row r="117" spans="1:26" s="24" customFormat="1" hidden="1" outlineLevel="2" x14ac:dyDescent="0.25">
      <c r="A117" s="28"/>
      <c r="B117" s="11" t="str">
        <f>CONCATENATE("          ", "6247", " - ", "STORE SUPPLIES")</f>
        <v xml:space="preserve">          6247 - STORE SUPPLIES</v>
      </c>
      <c r="C117" s="11"/>
      <c r="D117" s="7">
        <v>57.31</v>
      </c>
      <c r="E117" s="2"/>
      <c r="F117" s="6">
        <f t="shared" si="79"/>
        <v>2.0089752221247941E-4</v>
      </c>
      <c r="G117" s="2"/>
      <c r="H117" s="7"/>
      <c r="I117" s="2"/>
      <c r="J117" s="6">
        <f t="shared" si="80"/>
        <v>0</v>
      </c>
      <c r="K117" s="2"/>
      <c r="L117" s="7">
        <f t="shared" si="81"/>
        <v>57.31</v>
      </c>
      <c r="M117" s="2"/>
      <c r="N117" s="6">
        <f t="shared" si="82"/>
        <v>0</v>
      </c>
      <c r="O117" s="11"/>
      <c r="P117" s="7">
        <v>5258.06</v>
      </c>
      <c r="Q117" s="2"/>
      <c r="R117" s="6">
        <f t="shared" si="83"/>
        <v>6.5322322601727859E-3</v>
      </c>
      <c r="S117" s="2"/>
      <c r="T117" s="7"/>
      <c r="U117" s="2"/>
      <c r="V117" s="6">
        <f t="shared" si="84"/>
        <v>0</v>
      </c>
      <c r="W117" s="2"/>
      <c r="X117" s="7">
        <f t="shared" si="85"/>
        <v>5258.06</v>
      </c>
      <c r="Y117" s="2"/>
      <c r="Z117" s="6">
        <f t="shared" si="86"/>
        <v>0</v>
      </c>
    </row>
    <row r="118" spans="1:26" s="27" customFormat="1" outlineLevel="1" collapsed="1" x14ac:dyDescent="0.25">
      <c r="A118" s="29"/>
      <c r="B118" s="14" t="str">
        <f>CONCATENATE("     ","Telephone/Data Lines                              ")</f>
        <v xml:space="preserve">     Telephone/Data Lines                              </v>
      </c>
      <c r="C118" s="14"/>
      <c r="D118" s="1">
        <f>SUM(OSRRefD22_11x_0)</f>
        <v>256.64999999999998</v>
      </c>
      <c r="E118" s="1"/>
      <c r="F118" s="5">
        <f t="shared" ref="F118:F121" si="87">IF(D$12=0,0,D118/D$12)</f>
        <v>8.9967456073691908E-4</v>
      </c>
      <c r="G118" s="1"/>
      <c r="H118" s="1">
        <f>SUM(OSRRefH22_11x_0)</f>
        <v>750</v>
      </c>
      <c r="I118" s="1"/>
      <c r="J118" s="5">
        <f t="shared" ref="J118:J121" si="88">IF(H$12=0,0,H118/H$12)</f>
        <v>7.9956188273156339E-3</v>
      </c>
      <c r="K118" s="1"/>
      <c r="L118" s="1">
        <f t="shared" ref="L118:L121" si="89">+D118-H118</f>
        <v>-493.35</v>
      </c>
      <c r="M118" s="1"/>
      <c r="N118" s="5">
        <f t="shared" ref="N118:N121" si="90">IF(H118=0,0,L118/H118)</f>
        <v>-0.65780000000000005</v>
      </c>
      <c r="O118" s="14"/>
      <c r="P118" s="1">
        <f>SUM(OSRRefP22_11x_0)</f>
        <v>385.15</v>
      </c>
      <c r="Q118" s="1"/>
      <c r="R118" s="5">
        <f t="shared" ref="R118:R121" si="91">IF(P$12=0,0,P118/P$12)</f>
        <v>4.7848241651969516E-4</v>
      </c>
      <c r="S118" s="1"/>
      <c r="T118" s="1">
        <f>SUM(OSRRefT22_11x_0)</f>
        <v>1745.78</v>
      </c>
      <c r="U118" s="1"/>
      <c r="V118" s="5">
        <f t="shared" ref="V118:V121" si="92">IF(T$12=0,0,T118/T$12)</f>
        <v>3.2941517626197004E-3</v>
      </c>
      <c r="W118" s="1"/>
      <c r="X118" s="1">
        <f t="shared" ref="X118:X121" si="93">+P118-T118</f>
        <v>-1360.63</v>
      </c>
      <c r="Y118" s="1"/>
      <c r="Z118" s="5">
        <f t="shared" ref="Z118:Z121" si="94">IF(T118=0,0,X118/T118)</f>
        <v>-0.77938228184536429</v>
      </c>
    </row>
    <row r="119" spans="1:26" s="24" customFormat="1" hidden="1" outlineLevel="2" x14ac:dyDescent="0.25">
      <c r="A119" s="28"/>
      <c r="B119" s="11" t="str">
        <f>CONCATENATE("          ", "6309", " - ", "TELEPHONE")</f>
        <v xml:space="preserve">          6309 - TELEPHONE</v>
      </c>
      <c r="C119" s="11"/>
      <c r="D119" s="7">
        <v>256.64999999999998</v>
      </c>
      <c r="E119" s="2"/>
      <c r="F119" s="6">
        <f t="shared" si="87"/>
        <v>8.9967456073691908E-4</v>
      </c>
      <c r="G119" s="2"/>
      <c r="H119" s="7">
        <v>750</v>
      </c>
      <c r="I119" s="2"/>
      <c r="J119" s="6">
        <f t="shared" si="88"/>
        <v>7.9956188273156339E-3</v>
      </c>
      <c r="K119" s="2"/>
      <c r="L119" s="7">
        <f t="shared" si="89"/>
        <v>-493.35</v>
      </c>
      <c r="M119" s="2"/>
      <c r="N119" s="6">
        <f t="shared" si="90"/>
        <v>-0.65780000000000005</v>
      </c>
      <c r="O119" s="11"/>
      <c r="P119" s="7">
        <v>385.15</v>
      </c>
      <c r="Q119" s="2"/>
      <c r="R119" s="6">
        <f t="shared" si="91"/>
        <v>4.7848241651969516E-4</v>
      </c>
      <c r="S119" s="2"/>
      <c r="T119" s="7">
        <v>1745.78</v>
      </c>
      <c r="U119" s="2"/>
      <c r="V119" s="6">
        <f t="shared" si="92"/>
        <v>3.2941517626197004E-3</v>
      </c>
      <c r="W119" s="2"/>
      <c r="X119" s="7">
        <f t="shared" si="93"/>
        <v>-1360.63</v>
      </c>
      <c r="Y119" s="2"/>
      <c r="Z119" s="6">
        <f t="shared" si="94"/>
        <v>-0.77938228184536429</v>
      </c>
    </row>
    <row r="120" spans="1:26" s="27" customFormat="1" outlineLevel="1" collapsed="1" x14ac:dyDescent="0.25">
      <c r="A120" s="29"/>
      <c r="B120" s="14" t="str">
        <f>CONCATENATE("     ","Travel                                            ")</f>
        <v xml:space="preserve">     Travel                                            </v>
      </c>
      <c r="C120" s="14"/>
      <c r="D120" s="1">
        <f>SUM(OSRRefD22_12x_0)</f>
        <v>0</v>
      </c>
      <c r="E120" s="1"/>
      <c r="F120" s="5">
        <f t="shared" si="87"/>
        <v>0</v>
      </c>
      <c r="G120" s="1"/>
      <c r="H120" s="1">
        <f>SUM(OSRRefH22_12x_0)</f>
        <v>0</v>
      </c>
      <c r="I120" s="1"/>
      <c r="J120" s="5">
        <f t="shared" si="88"/>
        <v>0</v>
      </c>
      <c r="K120" s="1"/>
      <c r="L120" s="1">
        <f t="shared" si="89"/>
        <v>0</v>
      </c>
      <c r="M120" s="1"/>
      <c r="N120" s="5">
        <f t="shared" si="90"/>
        <v>0</v>
      </c>
      <c r="O120" s="14"/>
      <c r="P120" s="1">
        <f>SUM(OSRRefP22_12x_0)</f>
        <v>40.32</v>
      </c>
      <c r="Q120" s="1"/>
      <c r="R120" s="5">
        <f t="shared" si="91"/>
        <v>5.0090642695246296E-5</v>
      </c>
      <c r="S120" s="1"/>
      <c r="T120" s="1">
        <f>SUM(OSRRefT22_12x_0)</f>
        <v>0</v>
      </c>
      <c r="U120" s="1"/>
      <c r="V120" s="5">
        <f t="shared" si="92"/>
        <v>0</v>
      </c>
      <c r="W120" s="1"/>
      <c r="X120" s="1">
        <f t="shared" si="93"/>
        <v>40.32</v>
      </c>
      <c r="Y120" s="1"/>
      <c r="Z120" s="5">
        <f t="shared" si="94"/>
        <v>0</v>
      </c>
    </row>
    <row r="121" spans="1:26" s="24" customFormat="1" hidden="1" outlineLevel="2" x14ac:dyDescent="0.25">
      <c r="A121" s="28"/>
      <c r="B121" s="11" t="str">
        <f>CONCATENATE("          ", "6294", " - ", "TRAVEL OPERATIONAL")</f>
        <v xml:space="preserve">          6294 - TRAVEL OPERATIONAL</v>
      </c>
      <c r="C121" s="11"/>
      <c r="D121" s="7"/>
      <c r="E121" s="2"/>
      <c r="F121" s="6">
        <f t="shared" si="87"/>
        <v>0</v>
      </c>
      <c r="G121" s="2"/>
      <c r="H121" s="7"/>
      <c r="I121" s="2"/>
      <c r="J121" s="6">
        <f t="shared" si="88"/>
        <v>0</v>
      </c>
      <c r="K121" s="2"/>
      <c r="L121" s="7">
        <f t="shared" si="89"/>
        <v>0</v>
      </c>
      <c r="M121" s="2"/>
      <c r="N121" s="6">
        <f t="shared" si="90"/>
        <v>0</v>
      </c>
      <c r="O121" s="11"/>
      <c r="P121" s="7">
        <v>40.32</v>
      </c>
      <c r="Q121" s="2"/>
      <c r="R121" s="6">
        <f t="shared" si="91"/>
        <v>5.0090642695246296E-5</v>
      </c>
      <c r="S121" s="2"/>
      <c r="T121" s="7"/>
      <c r="U121" s="2"/>
      <c r="V121" s="6">
        <f t="shared" si="92"/>
        <v>0</v>
      </c>
      <c r="W121" s="2"/>
      <c r="X121" s="7">
        <f t="shared" si="93"/>
        <v>40.32</v>
      </c>
      <c r="Y121" s="2"/>
      <c r="Z121" s="6">
        <f t="shared" si="94"/>
        <v>0</v>
      </c>
    </row>
    <row r="122" spans="1:26" s="54" customFormat="1" x14ac:dyDescent="0.25">
      <c r="A122" s="37"/>
      <c r="B122" s="37"/>
      <c r="C122" s="37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7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collapsed="1" x14ac:dyDescent="0.25">
      <c r="A123" s="10"/>
      <c r="B123" s="26" t="s">
        <v>292</v>
      </c>
      <c r="C123" s="10"/>
      <c r="D123" s="4">
        <f>SUM(OSRRefD25x_0)</f>
        <v>-308.7</v>
      </c>
      <c r="E123" s="4"/>
      <c r="F123" s="12">
        <f t="shared" ref="F123:F125" si="95">IF(D$12=0,0,D123/D$12)</f>
        <v>-1.0821333991797659E-3</v>
      </c>
      <c r="G123" s="4"/>
      <c r="H123" s="4">
        <f>SUM(OSRRefH25x_0)</f>
        <v>0</v>
      </c>
      <c r="I123" s="4"/>
      <c r="J123" s="12">
        <f t="shared" ref="J123:J125" si="96">IF(H$12=0,0,H123/H$12)</f>
        <v>0</v>
      </c>
      <c r="K123" s="4"/>
      <c r="L123" s="4">
        <f t="shared" ref="L123:L125" si="97">+D123-H123</f>
        <v>-308.7</v>
      </c>
      <c r="M123" s="4"/>
      <c r="N123" s="12">
        <f t="shared" ref="N123:N125" si="98">IF(H123=0,0,L123/H123)</f>
        <v>0</v>
      </c>
      <c r="O123" s="10"/>
      <c r="P123" s="4">
        <f>SUM(OSRRefP25x_0)</f>
        <v>91764.32</v>
      </c>
      <c r="Q123" s="4"/>
      <c r="R123" s="12">
        <f t="shared" ref="R123:R125" si="99">IF(P$12=0,0,P123/P$12)</f>
        <v>0.11400133346458938</v>
      </c>
      <c r="S123" s="4"/>
      <c r="T123" s="4">
        <f>SUM(OSRRefT25x_0)</f>
        <v>172008.31</v>
      </c>
      <c r="U123" s="4"/>
      <c r="V123" s="12">
        <f t="shared" ref="V123:V125" si="100">IF(T$12=0,0,T123/T$12)</f>
        <v>0.32456637008771771</v>
      </c>
      <c r="W123" s="4"/>
      <c r="X123" s="4">
        <f t="shared" ref="X123:X125" si="101">+P123-T123</f>
        <v>-80243.989999999991</v>
      </c>
      <c r="Y123" s="4"/>
      <c r="Z123" s="12">
        <f t="shared" ref="Z123:Z125" si="102">IF(T123=0,0,X123/T123)</f>
        <v>-0.4665122865284822</v>
      </c>
    </row>
    <row r="124" spans="1:26" s="24" customFormat="1" hidden="1" outlineLevel="1" x14ac:dyDescent="0.25">
      <c r="A124" s="44"/>
      <c r="B124" s="11" t="str">
        <f>CONCATENATE("          ", "9150", " - ", "MISC. INCOME")</f>
        <v xml:space="preserve">          9150 - MISC. INCOME</v>
      </c>
      <c r="C124" s="11"/>
      <c r="D124" s="2">
        <f>0</f>
        <v>0</v>
      </c>
      <c r="E124" s="2"/>
      <c r="F124" s="19">
        <f t="shared" si="95"/>
        <v>0</v>
      </c>
      <c r="G124" s="2"/>
      <c r="H124" s="2">
        <f t="shared" ref="H124:H125" si="103">0</f>
        <v>0</v>
      </c>
      <c r="I124" s="2"/>
      <c r="J124" s="19">
        <f t="shared" si="96"/>
        <v>0</v>
      </c>
      <c r="K124" s="2"/>
      <c r="L124" s="2">
        <f t="shared" si="97"/>
        <v>0</v>
      </c>
      <c r="M124" s="2"/>
      <c r="N124" s="19">
        <f t="shared" si="98"/>
        <v>0</v>
      </c>
      <c r="O124" s="11"/>
      <c r="P124" s="2">
        <f>--28753.08</f>
        <v>28753.08</v>
      </c>
      <c r="Q124" s="2"/>
      <c r="R124" s="19">
        <f t="shared" si="99"/>
        <v>3.5720740492753776E-2</v>
      </c>
      <c r="S124" s="2"/>
      <c r="T124" s="2">
        <f>--11344.41</f>
        <v>11344.41</v>
      </c>
      <c r="U124" s="2"/>
      <c r="V124" s="19">
        <f t="shared" si="100"/>
        <v>2.1406023781565003E-2</v>
      </c>
      <c r="W124" s="2"/>
      <c r="X124" s="2">
        <f t="shared" si="101"/>
        <v>17408.670000000002</v>
      </c>
      <c r="Y124" s="2"/>
      <c r="Z124" s="19">
        <f t="shared" si="102"/>
        <v>1.5345593115904663</v>
      </c>
    </row>
    <row r="125" spans="1:26" s="24" customFormat="1" hidden="1" outlineLevel="1" x14ac:dyDescent="0.25">
      <c r="A125" s="44"/>
      <c r="B125" s="11" t="str">
        <f>CONCATENATE("          ", "9163", " - ", "MISC. INCOME")</f>
        <v xml:space="preserve">          9163 - MISC. INCOME</v>
      </c>
      <c r="C125" s="11"/>
      <c r="D125" s="2">
        <f>-308.7</f>
        <v>-308.7</v>
      </c>
      <c r="E125" s="2"/>
      <c r="F125" s="19">
        <f t="shared" si="95"/>
        <v>-1.0821333991797659E-3</v>
      </c>
      <c r="G125" s="2"/>
      <c r="H125" s="2">
        <f t="shared" si="103"/>
        <v>0</v>
      </c>
      <c r="I125" s="2"/>
      <c r="J125" s="19">
        <f t="shared" si="96"/>
        <v>0</v>
      </c>
      <c r="K125" s="2"/>
      <c r="L125" s="2">
        <f t="shared" si="97"/>
        <v>-308.7</v>
      </c>
      <c r="M125" s="2"/>
      <c r="N125" s="19">
        <f t="shared" si="98"/>
        <v>0</v>
      </c>
      <c r="O125" s="11"/>
      <c r="P125" s="2">
        <f>--63011.24</f>
        <v>63011.24</v>
      </c>
      <c r="Q125" s="2"/>
      <c r="R125" s="19">
        <f t="shared" si="99"/>
        <v>7.8280592971835594E-2</v>
      </c>
      <c r="S125" s="2"/>
      <c r="T125" s="2">
        <f>--160663.9</f>
        <v>160663.9</v>
      </c>
      <c r="U125" s="2"/>
      <c r="V125" s="19">
        <f t="shared" si="100"/>
        <v>0.30316034630615268</v>
      </c>
      <c r="W125" s="2"/>
      <c r="X125" s="2">
        <f t="shared" si="101"/>
        <v>-97652.66</v>
      </c>
      <c r="Y125" s="2"/>
      <c r="Z125" s="19">
        <f t="shared" si="102"/>
        <v>-0.60780710539206384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5" t="s">
        <v>276</v>
      </c>
      <c r="C127" s="25"/>
      <c r="D127" s="21">
        <f>+D75-D77+D123</f>
        <v>80155.320000000022</v>
      </c>
      <c r="E127" s="13"/>
      <c r="F127" s="22">
        <f>IF(D$12=0,0,D127/D$12)</f>
        <v>0.28098072204062813</v>
      </c>
      <c r="G127" s="13"/>
      <c r="H127" s="21">
        <f>+H75-H77+H123</f>
        <v>-12611.210000000014</v>
      </c>
      <c r="I127" s="13"/>
      <c r="J127" s="22">
        <f>IF(H$12=0,0,H127/H$12)</f>
        <v>-0.13444590414830843</v>
      </c>
      <c r="K127" s="16"/>
      <c r="L127" s="21">
        <f>+D127-H127</f>
        <v>92766.530000000028</v>
      </c>
      <c r="M127" s="16"/>
      <c r="N127" s="22">
        <f>IF(H127=0,0,L127/H127)</f>
        <v>-7.3558786191015715</v>
      </c>
      <c r="O127" s="26"/>
      <c r="P127" s="21">
        <f>+P75-P77+P123</f>
        <v>299865.41000000003</v>
      </c>
      <c r="Q127" s="13"/>
      <c r="R127" s="22">
        <f>IF(P$12=0,0,P127/P$12)</f>
        <v>0.37253102948843098</v>
      </c>
      <c r="S127" s="13"/>
      <c r="T127" s="21">
        <f>+T75-T77+T123</f>
        <v>223793.45000000004</v>
      </c>
      <c r="U127" s="13"/>
      <c r="V127" s="22">
        <f>IF(T$12=0,0,T127/T$12)</f>
        <v>0.42228092186887461</v>
      </c>
      <c r="W127" s="16"/>
      <c r="X127" s="21">
        <f>+P127-T127</f>
        <v>76071.959999999992</v>
      </c>
      <c r="Y127" s="16"/>
      <c r="Z127" s="22">
        <f>IF(T127=0,0,X127/T127)</f>
        <v>0.33992040428350329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1"/>
      <c r="B129" s="10" t="s">
        <v>127</v>
      </c>
      <c r="C129" s="10"/>
      <c r="D129" s="4">
        <v>21976.04</v>
      </c>
      <c r="E129" s="4"/>
      <c r="F129" s="12">
        <f>IF(D$12=0,0,D129/D$12)</f>
        <v>7.7035979480759659E-2</v>
      </c>
      <c r="G129" s="4"/>
      <c r="H129" s="4">
        <v>24538.2</v>
      </c>
      <c r="I129" s="4"/>
      <c r="J129" s="12">
        <f>IF(H$12=0,0,H129/H$12)</f>
        <v>0.261597458544582</v>
      </c>
      <c r="K129" s="4"/>
      <c r="L129" s="4">
        <f>+D129-H129</f>
        <v>-2562.16</v>
      </c>
      <c r="M129" s="4"/>
      <c r="N129" s="12">
        <f>IF(H129=0,0,L129/H129)</f>
        <v>-0.10441515677596563</v>
      </c>
      <c r="O129" s="10"/>
      <c r="P129" s="4">
        <v>99632.05</v>
      </c>
      <c r="Q129" s="4"/>
      <c r="R129" s="12">
        <f>IF(P$12=0,0,P129/P$12)</f>
        <v>0.12377563039545916</v>
      </c>
      <c r="S129" s="4"/>
      <c r="T129" s="4">
        <v>98178.37</v>
      </c>
      <c r="U129" s="4"/>
      <c r="V129" s="12">
        <f>IF(T$12=0,0,T129/T$12)</f>
        <v>0.18525498664587123</v>
      </c>
      <c r="W129" s="4"/>
      <c r="X129" s="4">
        <f>+P129-T129</f>
        <v>1453.6800000000076</v>
      </c>
      <c r="Y129" s="4"/>
      <c r="Z129" s="12">
        <f>IF(T129=0,0,X129/T129)</f>
        <v>1.4806520010466742E-2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5" t="s">
        <v>125</v>
      </c>
      <c r="C131" s="25"/>
      <c r="D131" s="33">
        <f>+D127-D129</f>
        <v>58179.280000000021</v>
      </c>
      <c r="E131" s="13"/>
      <c r="F131" s="35">
        <f>IF(D$12=0,0,D131/D$12)</f>
        <v>0.20394474255986847</v>
      </c>
      <c r="G131" s="13"/>
      <c r="H131" s="33">
        <f>+H127-H129</f>
        <v>-37149.410000000018</v>
      </c>
      <c r="I131" s="13"/>
      <c r="J131" s="35">
        <f>IF(H$12=0,0,H131/H$12)</f>
        <v>-0.39604336269289048</v>
      </c>
      <c r="K131" s="16"/>
      <c r="L131" s="33">
        <f>D131-H131</f>
        <v>95328.690000000031</v>
      </c>
      <c r="M131" s="16"/>
      <c r="N131" s="35">
        <f>IF(H131=0,0,L131/H131)</f>
        <v>-2.5660889365403108</v>
      </c>
      <c r="O131" s="26"/>
      <c r="P131" s="33">
        <f>+P127-P129</f>
        <v>200233.36000000004</v>
      </c>
      <c r="Q131" s="13"/>
      <c r="R131" s="35">
        <f>IF(P$12=0,0,P131/P$12)</f>
        <v>0.24875539909297181</v>
      </c>
      <c r="S131" s="13"/>
      <c r="T131" s="33">
        <f>+T127-T129</f>
        <v>125615.08000000005</v>
      </c>
      <c r="U131" s="13"/>
      <c r="V131" s="35">
        <f>IF(T$12=0,0,T131/T$12)</f>
        <v>0.23702593522300336</v>
      </c>
      <c r="W131" s="16"/>
      <c r="X131" s="33">
        <f>P131-T131</f>
        <v>74618.28</v>
      </c>
      <c r="Y131" s="16"/>
      <c r="Z131" s="35">
        <f>IF(T131=0,0,X131/T131)</f>
        <v>0.59402326535954098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5" t="s">
        <v>293</v>
      </c>
      <c r="C134" s="25"/>
      <c r="D134" s="31">
        <f>SUM(D131:D133)</f>
        <v>58179.280000000021</v>
      </c>
      <c r="E134" s="13"/>
      <c r="F134" s="32">
        <f>IF(D$12=0,0,D134/D$12)</f>
        <v>0.20394474255986847</v>
      </c>
      <c r="G134" s="13"/>
      <c r="H134" s="31">
        <f>SUM(H131:H133)</f>
        <v>-37149.410000000018</v>
      </c>
      <c r="I134" s="13"/>
      <c r="J134" s="32">
        <f>IF(H$12=0,0,H134/H$12)</f>
        <v>-0.39604336269289048</v>
      </c>
      <c r="K134" s="16"/>
      <c r="L134" s="31">
        <f>+D134-H134</f>
        <v>95328.690000000031</v>
      </c>
      <c r="M134" s="16"/>
      <c r="N134" s="32">
        <f>IF(H134=0,0,L134/H134)</f>
        <v>-2.5660889365403108</v>
      </c>
      <c r="O134" s="26"/>
      <c r="P134" s="31">
        <f>SUM(P131:P133)</f>
        <v>200233.36000000004</v>
      </c>
      <c r="Q134" s="13"/>
      <c r="R134" s="32">
        <f>IF(P$12=0,0,P134/P$12)</f>
        <v>0.24875539909297181</v>
      </c>
      <c r="S134" s="13"/>
      <c r="T134" s="31">
        <f>SUM(T131:T133)</f>
        <v>125615.08000000005</v>
      </c>
      <c r="U134" s="13"/>
      <c r="V134" s="32">
        <f>IF(T$12=0,0,T134/T$12)</f>
        <v>0.23702593522300336</v>
      </c>
      <c r="W134" s="16"/>
      <c r="X134" s="31">
        <f>+P134-T134</f>
        <v>74618.28</v>
      </c>
      <c r="Y134" s="16"/>
      <c r="Z134" s="32">
        <f>IF(T134=0,0,X134/T134)</f>
        <v>0.59402326535954098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2"/>
      <c r="K135" s="18"/>
      <c r="L135" s="18"/>
      <c r="M135" s="18"/>
      <c r="P135" s="18"/>
      <c r="Q135" s="18"/>
      <c r="R135" s="42"/>
      <c r="S135" s="18"/>
      <c r="T135" s="18"/>
      <c r="U135" s="18"/>
      <c r="V135" s="42"/>
      <c r="W135" s="18"/>
      <c r="X135" s="18"/>
    </row>
    <row r="136" spans="1:26" x14ac:dyDescent="0.25">
      <c r="A136" s="9"/>
      <c r="B136" s="58">
        <v>44481.985668518515</v>
      </c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  <row r="137" spans="1:26" x14ac:dyDescent="0.25">
      <c r="A137" s="9"/>
      <c r="B137" s="53" t="s">
        <v>56</v>
      </c>
      <c r="D137" s="18"/>
      <c r="E137" s="18"/>
      <c r="G137" s="18"/>
      <c r="H137" s="18"/>
      <c r="I137" s="18"/>
      <c r="J137" s="42"/>
      <c r="K137" s="18"/>
      <c r="L137" s="18"/>
      <c r="M137" s="18"/>
      <c r="P137" s="18"/>
      <c r="Q137" s="18"/>
      <c r="R137" s="42"/>
      <c r="S137" s="18"/>
      <c r="T137" s="18"/>
      <c r="U137" s="18"/>
      <c r="V137" s="42"/>
      <c r="W137" s="18"/>
      <c r="X137" s="18"/>
    </row>
    <row r="138" spans="1:26" x14ac:dyDescent="0.25">
      <c r="A138" s="9"/>
      <c r="B138" s="52"/>
      <c r="D138" s="18"/>
      <c r="E138" s="18"/>
      <c r="G138" s="18"/>
      <c r="H138" s="18"/>
      <c r="I138" s="18"/>
      <c r="J138" s="42"/>
      <c r="K138" s="18"/>
      <c r="L138" s="18"/>
      <c r="M138" s="18"/>
      <c r="P138" s="18"/>
      <c r="Q138" s="18"/>
      <c r="R138" s="42"/>
      <c r="S138" s="18"/>
      <c r="T138" s="18"/>
      <c r="U138" s="18"/>
      <c r="V138" s="42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2"/>
      <c r="K139" s="18"/>
      <c r="L139" s="18"/>
      <c r="M139" s="18"/>
      <c r="P139" s="18"/>
      <c r="Q139" s="18"/>
      <c r="R139" s="42"/>
      <c r="S139" s="18"/>
      <c r="T139" s="18"/>
      <c r="U139" s="18"/>
      <c r="V139" s="42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217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4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292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276</v>
      </c>
      <c r="C22" s="25"/>
      <c r="D22" s="21">
        <f>+D16-D18+D20</f>
        <v>0</v>
      </c>
      <c r="E22" s="13"/>
      <c r="F22" s="22">
        <f>IF(D$12=0,0,D22/D$12)</f>
        <v>0</v>
      </c>
      <c r="G22" s="13"/>
      <c r="H22" s="21">
        <f>+H16-H18+H20</f>
        <v>0</v>
      </c>
      <c r="I22" s="13"/>
      <c r="J22" s="22">
        <f>IF(H$12=0,0,H22/H$12)</f>
        <v>0</v>
      </c>
      <c r="K22" s="16"/>
      <c r="L22" s="21">
        <f>+D22-H22</f>
        <v>0</v>
      </c>
      <c r="M22" s="16"/>
      <c r="N22" s="22">
        <f>IF(H22=0,0,L22/H22)</f>
        <v>0</v>
      </c>
      <c r="O22" s="26"/>
      <c r="P22" s="21">
        <f>+P16-P18+P20</f>
        <v>0</v>
      </c>
      <c r="Q22" s="13"/>
      <c r="R22" s="22">
        <f>IF(P$12=0,0,P22/P$12)</f>
        <v>0</v>
      </c>
      <c r="S22" s="13"/>
      <c r="T22" s="21">
        <f>+T16-T18+T20</f>
        <v>0</v>
      </c>
      <c r="U22" s="13"/>
      <c r="V22" s="22">
        <f>IF(T$12=0,0,T22/T$12)</f>
        <v>0</v>
      </c>
      <c r="W22" s="16"/>
      <c r="X22" s="21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127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125</v>
      </c>
      <c r="C26" s="25"/>
      <c r="D26" s="33">
        <f>+D22-D24</f>
        <v>0</v>
      </c>
      <c r="E26" s="13"/>
      <c r="F26" s="35">
        <f>IF(D$12=0,0,D26/D$12)</f>
        <v>0</v>
      </c>
      <c r="G26" s="13"/>
      <c r="H26" s="33">
        <f>+H22-H24</f>
        <v>0</v>
      </c>
      <c r="I26" s="13"/>
      <c r="J26" s="35">
        <f>IF(H$12=0,0,H26/H$12)</f>
        <v>0</v>
      </c>
      <c r="K26" s="16"/>
      <c r="L26" s="33">
        <f>D26-H26</f>
        <v>0</v>
      </c>
      <c r="M26" s="16"/>
      <c r="N26" s="35">
        <f>IF(H26=0,0,L26/H26)</f>
        <v>0</v>
      </c>
      <c r="O26" s="26"/>
      <c r="P26" s="33">
        <f>+P22-P24</f>
        <v>0</v>
      </c>
      <c r="Q26" s="13"/>
      <c r="R26" s="35">
        <f>IF(P$12=0,0,P26/P$12)</f>
        <v>0</v>
      </c>
      <c r="S26" s="13"/>
      <c r="T26" s="33">
        <f>+T22-T24</f>
        <v>0</v>
      </c>
      <c r="U26" s="13"/>
      <c r="V26" s="35">
        <f>IF(T$12=0,0,T26/T$12)</f>
        <v>0</v>
      </c>
      <c r="W26" s="16"/>
      <c r="X26" s="33">
        <f>P26-T26</f>
        <v>0</v>
      </c>
      <c r="Y26" s="16"/>
      <c r="Z26" s="35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183</v>
      </c>
      <c r="C28" s="10"/>
      <c r="D28" s="4">
        <f>-372468.37</f>
        <v>-372468.37</v>
      </c>
      <c r="E28" s="4"/>
      <c r="F28" s="12">
        <f t="shared" ref="F28:F29" si="0">IF(D$12=0,0,D28/D$12)</f>
        <v>0</v>
      </c>
      <c r="G28" s="4"/>
      <c r="H28" s="4">
        <f>-231583.65</f>
        <v>-231583.65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-140884.72</v>
      </c>
      <c r="M28" s="4"/>
      <c r="N28" s="12">
        <f t="shared" ref="N28:N29" si="3">IF(H28=0,0,L28/H28)</f>
        <v>0.60835348264007416</v>
      </c>
      <c r="O28" s="10"/>
      <c r="P28" s="4">
        <f>-219609.57</f>
        <v>-219609.57</v>
      </c>
      <c r="Q28" s="4"/>
      <c r="R28" s="12">
        <f t="shared" ref="R28:R29" si="4">IF(P$12=0,0,P28/P$12)</f>
        <v>0</v>
      </c>
      <c r="S28" s="4"/>
      <c r="T28" s="4">
        <f>--719759.06</f>
        <v>719759.06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-939368.63000000012</v>
      </c>
      <c r="Y28" s="4"/>
      <c r="Z28" s="12">
        <f t="shared" ref="Z28:Z29" si="7">IF(T28=0,0,X28/T28)</f>
        <v>-1.3051153951434804</v>
      </c>
    </row>
    <row r="29" spans="1:26" s="23" customFormat="1" x14ac:dyDescent="0.25">
      <c r="A29" s="51"/>
      <c r="B29" s="10" t="s">
        <v>81</v>
      </c>
      <c r="C29" s="10"/>
      <c r="D29" s="4">
        <f>--15112.29</f>
        <v>15112.29</v>
      </c>
      <c r="E29" s="4"/>
      <c r="F29" s="12">
        <f t="shared" si="0"/>
        <v>0</v>
      </c>
      <c r="G29" s="4"/>
      <c r="H29" s="4">
        <f>--23302.32</f>
        <v>23302.32</v>
      </c>
      <c r="I29" s="4"/>
      <c r="J29" s="12">
        <f t="shared" si="1"/>
        <v>0</v>
      </c>
      <c r="K29" s="4"/>
      <c r="L29" s="4">
        <f t="shared" si="2"/>
        <v>-8190.0299999999988</v>
      </c>
      <c r="M29" s="4"/>
      <c r="N29" s="12">
        <f t="shared" si="3"/>
        <v>-0.35146843747747003</v>
      </c>
      <c r="O29" s="10"/>
      <c r="P29" s="4">
        <f>--37328.78</f>
        <v>37328.78</v>
      </c>
      <c r="Q29" s="4"/>
      <c r="R29" s="12">
        <f t="shared" si="4"/>
        <v>0</v>
      </c>
      <c r="S29" s="4"/>
      <c r="T29" s="4">
        <f>-33260.96</f>
        <v>-33260.959999999999</v>
      </c>
      <c r="U29" s="4"/>
      <c r="V29" s="12">
        <f t="shared" si="5"/>
        <v>0</v>
      </c>
      <c r="W29" s="4"/>
      <c r="X29" s="4">
        <f t="shared" si="6"/>
        <v>70589.739999999991</v>
      </c>
      <c r="Y29" s="4"/>
      <c r="Z29" s="12">
        <f t="shared" si="7"/>
        <v>-2.1223001380597553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293</v>
      </c>
      <c r="C31" s="25"/>
      <c r="D31" s="31">
        <f>SUM(D26:D30)</f>
        <v>-357356.08</v>
      </c>
      <c r="E31" s="13"/>
      <c r="F31" s="32">
        <f>IF(D$12=0,0,D31/D$12)</f>
        <v>0</v>
      </c>
      <c r="G31" s="13"/>
      <c r="H31" s="31">
        <f>SUM(H26:H30)</f>
        <v>-208281.33</v>
      </c>
      <c r="I31" s="13"/>
      <c r="J31" s="32">
        <f>IF(H$12=0,0,H31/H$12)</f>
        <v>0</v>
      </c>
      <c r="K31" s="16"/>
      <c r="L31" s="31">
        <f>+D31-H31</f>
        <v>-149074.75000000003</v>
      </c>
      <c r="M31" s="16"/>
      <c r="N31" s="32">
        <f>IF(H31=0,0,L31/H31)</f>
        <v>0.71573745952169621</v>
      </c>
      <c r="O31" s="26"/>
      <c r="P31" s="31">
        <f>SUM(P26:P30)</f>
        <v>-182280.79</v>
      </c>
      <c r="Q31" s="13"/>
      <c r="R31" s="32">
        <f>IF(P$12=0,0,P31/P$12)</f>
        <v>0</v>
      </c>
      <c r="S31" s="13"/>
      <c r="T31" s="31">
        <f>SUM(T26:T30)</f>
        <v>686498.10000000009</v>
      </c>
      <c r="U31" s="13"/>
      <c r="V31" s="32">
        <f>IF(T$12=0,0,T31/T$12)</f>
        <v>0</v>
      </c>
      <c r="W31" s="16"/>
      <c r="X31" s="31">
        <f>+P31-T31</f>
        <v>-868778.89000000013</v>
      </c>
      <c r="Y31" s="16"/>
      <c r="Z31" s="32">
        <f>IF(T31=0,0,X31/T31)</f>
        <v>-1.2655226431070967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8">
        <v>44481.985625925925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3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2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","326", " - ", "2nd Street Store")</f>
        <v>Department 326 - 2nd Street Store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22628.5</v>
      </c>
      <c r="E12" s="4"/>
      <c r="F12" s="12"/>
      <c r="G12" s="4"/>
      <c r="H12" s="4">
        <f>SUM(OSRRefH13x_0)</f>
        <v>19966.789999999997</v>
      </c>
      <c r="I12" s="4"/>
      <c r="J12" s="12"/>
      <c r="K12" s="4"/>
      <c r="L12" s="4">
        <f t="shared" ref="L12:L33" si="0">+D12-H12</f>
        <v>2661.7100000000028</v>
      </c>
      <c r="M12" s="4"/>
      <c r="N12" s="12">
        <f t="shared" ref="N12:N33" si="1">IF(H12=0,0,L12/H12)</f>
        <v>0.13330685603444536</v>
      </c>
      <c r="O12" s="10"/>
      <c r="P12" s="4">
        <f>SUM(OSRRefP13x_0)</f>
        <v>89474.559999999998</v>
      </c>
      <c r="Q12" s="4"/>
      <c r="R12" s="12"/>
      <c r="S12" s="4"/>
      <c r="T12" s="4">
        <f>SUM(OSRRefT13x_0)</f>
        <v>69643.879999999976</v>
      </c>
      <c r="U12" s="4"/>
      <c r="V12" s="12"/>
      <c r="W12" s="4"/>
      <c r="X12" s="4">
        <f t="shared" ref="X12:X33" si="2">+P12-T12</f>
        <v>19830.680000000022</v>
      </c>
      <c r="Y12" s="4"/>
      <c r="Z12" s="12">
        <f t="shared" ref="Z12:Z33" si="3">IF(T12=0,0,X12/T12)</f>
        <v>0.28474404355415045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--23239.34</f>
        <v>23239.34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23239.34</v>
      </c>
      <c r="M13" s="2"/>
      <c r="N13" s="19">
        <f t="shared" si="1"/>
        <v>0</v>
      </c>
      <c r="O13" s="11"/>
      <c r="P13" s="2">
        <f>--92054.14</f>
        <v>92054.14</v>
      </c>
      <c r="Q13" s="2"/>
      <c r="R13" s="19"/>
      <c r="S13" s="2"/>
      <c r="T13" s="2">
        <f>-646</f>
        <v>-646</v>
      </c>
      <c r="U13" s="2"/>
      <c r="V13" s="19"/>
      <c r="W13" s="2"/>
      <c r="X13" s="2">
        <f t="shared" si="2"/>
        <v>92700.14</v>
      </c>
      <c r="Y13" s="2"/>
      <c r="Z13" s="19">
        <f t="shared" si="3"/>
        <v>-143.49866873065017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1" si="4">0</f>
        <v>0</v>
      </c>
      <c r="E14" s="2"/>
      <c r="F14" s="19"/>
      <c r="G14" s="2"/>
      <c r="H14" s="2">
        <f>--3.96</f>
        <v>3.96</v>
      </c>
      <c r="I14" s="2"/>
      <c r="J14" s="19"/>
      <c r="K14" s="2"/>
      <c r="L14" s="2">
        <f t="shared" si="0"/>
        <v>-3.96</v>
      </c>
      <c r="M14" s="2"/>
      <c r="N14" s="19">
        <f t="shared" si="1"/>
        <v>-1</v>
      </c>
      <c r="O14" s="11"/>
      <c r="P14" s="2">
        <f t="shared" ref="P14:P21" si="5">0</f>
        <v>0</v>
      </c>
      <c r="Q14" s="2"/>
      <c r="R14" s="19"/>
      <c r="S14" s="2"/>
      <c r="T14" s="2">
        <f>--18.53</f>
        <v>18.53</v>
      </c>
      <c r="U14" s="2"/>
      <c r="V14" s="19"/>
      <c r="W14" s="2"/>
      <c r="X14" s="2">
        <f t="shared" si="2"/>
        <v>-18.53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--2.13</f>
        <v>2.13</v>
      </c>
      <c r="I15" s="2"/>
      <c r="J15" s="19"/>
      <c r="K15" s="2"/>
      <c r="L15" s="2">
        <f t="shared" si="0"/>
        <v>-2.13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--11.12</f>
        <v>11.12</v>
      </c>
      <c r="U15" s="2"/>
      <c r="V15" s="19"/>
      <c r="W15" s="2"/>
      <c r="X15" s="2">
        <f t="shared" si="2"/>
        <v>-11.12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"4040", " - ", "TAXABLE SALES-LOGO CLOTHING")</f>
        <v xml:space="preserve">          4040 - TAXABLE SALES-LOGO CLOTHING</v>
      </c>
      <c r="C16" s="11"/>
      <c r="D16" s="2">
        <f t="shared" si="4"/>
        <v>0</v>
      </c>
      <c r="E16" s="2"/>
      <c r="F16" s="19"/>
      <c r="G16" s="2"/>
      <c r="H16" s="2">
        <f>--15948.83</f>
        <v>15948.83</v>
      </c>
      <c r="I16" s="2"/>
      <c r="J16" s="19"/>
      <c r="K16" s="2"/>
      <c r="L16" s="2">
        <f t="shared" si="0"/>
        <v>-15948.83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--57034.9</f>
        <v>57034.9</v>
      </c>
      <c r="U16" s="2"/>
      <c r="V16" s="19"/>
      <c r="W16" s="2"/>
      <c r="X16" s="2">
        <f t="shared" si="2"/>
        <v>-57034.9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"4041", " - ", "TAXABLE SALES-LOGO GIFTS")</f>
        <v xml:space="preserve">          4041 - TAXABLE SALES-LOGO GIFTS</v>
      </c>
      <c r="C17" s="11"/>
      <c r="D17" s="2">
        <f t="shared" si="4"/>
        <v>0</v>
      </c>
      <c r="E17" s="2"/>
      <c r="F17" s="19"/>
      <c r="G17" s="2"/>
      <c r="H17" s="2">
        <f>--2496</f>
        <v>2496</v>
      </c>
      <c r="I17" s="2"/>
      <c r="J17" s="19"/>
      <c r="K17" s="2"/>
      <c r="L17" s="2">
        <f t="shared" si="0"/>
        <v>-2496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--9525.35</f>
        <v>9525.35</v>
      </c>
      <c r="U17" s="2"/>
      <c r="V17" s="19"/>
      <c r="W17" s="2"/>
      <c r="X17" s="2">
        <f t="shared" si="2"/>
        <v>-9525.35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"4042", " - ", "TAXABLE SALES-EVERYDAY GIFTS")</f>
        <v xml:space="preserve">          4042 - TAXABLE SALES-EVERYDAY GIFTS</v>
      </c>
      <c r="C18" s="11"/>
      <c r="D18" s="2">
        <f t="shared" si="4"/>
        <v>0</v>
      </c>
      <c r="E18" s="2"/>
      <c r="F18" s="19"/>
      <c r="G18" s="2"/>
      <c r="H18" s="2">
        <f>--1438.73</f>
        <v>1438.73</v>
      </c>
      <c r="I18" s="2"/>
      <c r="J18" s="19"/>
      <c r="K18" s="2"/>
      <c r="L18" s="2">
        <f t="shared" si="0"/>
        <v>-1438.73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--4287.56</f>
        <v>4287.5600000000004</v>
      </c>
      <c r="U18" s="2"/>
      <c r="V18" s="19"/>
      <c r="W18" s="2"/>
      <c r="X18" s="2">
        <f t="shared" si="2"/>
        <v>-4287.5600000000004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"4043", " - ", "TAXABLE SALES-CARDS")</f>
        <v xml:space="preserve">          4043 - TAXABLE SALES-CARDS</v>
      </c>
      <c r="C19" s="11"/>
      <c r="D19" s="2">
        <f t="shared" si="4"/>
        <v>0</v>
      </c>
      <c r="E19" s="2"/>
      <c r="F19" s="19"/>
      <c r="G19" s="2"/>
      <c r="H19" s="2">
        <f>--247.77</f>
        <v>247.77</v>
      </c>
      <c r="I19" s="2"/>
      <c r="J19" s="19"/>
      <c r="K19" s="2"/>
      <c r="L19" s="2">
        <f t="shared" si="0"/>
        <v>-247.77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--627.41</f>
        <v>627.41</v>
      </c>
      <c r="U19" s="2"/>
      <c r="V19" s="19"/>
      <c r="W19" s="2"/>
      <c r="X19" s="2">
        <f t="shared" si="2"/>
        <v>-627.41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"4044", " - ", "TAXABLE SALES-ACCESSORIES")</f>
        <v xml:space="preserve">          4044 - TAXABLE SALES-ACCESSORIES</v>
      </c>
      <c r="C20" s="11"/>
      <c r="D20" s="2">
        <f t="shared" si="4"/>
        <v>0</v>
      </c>
      <c r="E20" s="2"/>
      <c r="F20" s="19"/>
      <c r="G20" s="2"/>
      <c r="H20" s="2">
        <f>--290.39</f>
        <v>290.39</v>
      </c>
      <c r="I20" s="2"/>
      <c r="J20" s="19"/>
      <c r="K20" s="2"/>
      <c r="L20" s="2">
        <f t="shared" si="0"/>
        <v>-290.39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--782.47</f>
        <v>782.47</v>
      </c>
      <c r="U20" s="2"/>
      <c r="V20" s="19"/>
      <c r="W20" s="2"/>
      <c r="X20" s="2">
        <f t="shared" si="2"/>
        <v>-782.47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"4045", " - ", "TAXABLE SALES-SPECIAL ORDERS")</f>
        <v xml:space="preserve">          4045 - TAXABLE SALES-SPECIAL ORDERS</v>
      </c>
      <c r="C21" s="11"/>
      <c r="D21" s="2">
        <f t="shared" si="4"/>
        <v>0</v>
      </c>
      <c r="E21" s="2"/>
      <c r="F21" s="19"/>
      <c r="G21" s="2"/>
      <c r="H21" s="2">
        <f>--34.9</f>
        <v>34.9</v>
      </c>
      <c r="I21" s="2"/>
      <c r="J21" s="19"/>
      <c r="K21" s="2"/>
      <c r="L21" s="2">
        <f t="shared" si="0"/>
        <v>-34.9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--34.9</f>
        <v>34.9</v>
      </c>
      <c r="U21" s="2"/>
      <c r="V21" s="19"/>
      <c r="W21" s="2"/>
      <c r="X21" s="2">
        <f t="shared" si="2"/>
        <v>-34.9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"4100", " - ", "NON-TAXABLE SALES")</f>
        <v xml:space="preserve">          4100 - NON-TAXABLE SALES</v>
      </c>
      <c r="C22" s="11"/>
      <c r="D22" s="2">
        <f>--6.3</f>
        <v>6.3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6.3</v>
      </c>
      <c r="M22" s="2"/>
      <c r="N22" s="19">
        <f t="shared" si="1"/>
        <v>0</v>
      </c>
      <c r="O22" s="11"/>
      <c r="P22" s="2">
        <f>--25.8</f>
        <v>25.8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25.8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"4131", " - ", "NON-TAXABLE SALES-FOOD")</f>
        <v xml:space="preserve">          4131 - NON-TAXABLE SALES-FOOD</v>
      </c>
      <c r="C23" s="11"/>
      <c r="D23" s="2">
        <f t="shared" ref="D23:D26" si="6">0</f>
        <v>0</v>
      </c>
      <c r="E23" s="2"/>
      <c r="F23" s="19"/>
      <c r="G23" s="2"/>
      <c r="H23" s="2">
        <f>--12</f>
        <v>12</v>
      </c>
      <c r="I23" s="2"/>
      <c r="J23" s="19"/>
      <c r="K23" s="2"/>
      <c r="L23" s="2">
        <f t="shared" si="0"/>
        <v>-12</v>
      </c>
      <c r="M23" s="2"/>
      <c r="N23" s="19">
        <f t="shared" si="1"/>
        <v>-1</v>
      </c>
      <c r="O23" s="11"/>
      <c r="P23" s="2">
        <f t="shared" ref="P23:P26" si="7">0</f>
        <v>0</v>
      </c>
      <c r="Q23" s="2"/>
      <c r="R23" s="19"/>
      <c r="S23" s="2"/>
      <c r="T23" s="2">
        <f>--22.5</f>
        <v>22.5</v>
      </c>
      <c r="U23" s="2"/>
      <c r="V23" s="19"/>
      <c r="W23" s="2"/>
      <c r="X23" s="2">
        <f t="shared" si="2"/>
        <v>-22.5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 t="shared" si="6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7"/>
        <v>0</v>
      </c>
      <c r="Q24" s="2"/>
      <c r="R24" s="19"/>
      <c r="S24" s="2"/>
      <c r="T24" s="2">
        <f>--9</f>
        <v>9</v>
      </c>
      <c r="U24" s="2"/>
      <c r="V24" s="19"/>
      <c r="W24" s="2"/>
      <c r="X24" s="2">
        <f t="shared" si="2"/>
        <v>-9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"4140", " - ", "NON-TAXABLE SALES-LOGO CLOTHIN")</f>
        <v xml:space="preserve">          4140 - NON-TAXABLE SALES-LOGO CLOTHIN</v>
      </c>
      <c r="C25" s="11"/>
      <c r="D25" s="2">
        <f t="shared" si="6"/>
        <v>0</v>
      </c>
      <c r="E25" s="2"/>
      <c r="F25" s="19"/>
      <c r="G25" s="2"/>
      <c r="H25" s="2">
        <f>--7.49</f>
        <v>7.49</v>
      </c>
      <c r="I25" s="2"/>
      <c r="J25" s="19"/>
      <c r="K25" s="2"/>
      <c r="L25" s="2">
        <f t="shared" si="0"/>
        <v>-7.49</v>
      </c>
      <c r="M25" s="2"/>
      <c r="N25" s="19">
        <f t="shared" si="1"/>
        <v>-1</v>
      </c>
      <c r="O25" s="11"/>
      <c r="P25" s="2">
        <f t="shared" si="7"/>
        <v>0</v>
      </c>
      <c r="Q25" s="2"/>
      <c r="R25" s="19"/>
      <c r="S25" s="2"/>
      <c r="T25" s="2">
        <f>--90.93</f>
        <v>90.93</v>
      </c>
      <c r="U25" s="2"/>
      <c r="V25" s="19"/>
      <c r="W25" s="2"/>
      <c r="X25" s="2">
        <f t="shared" si="2"/>
        <v>-90.93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"4145", " - ", "NON-TAXABLE SALES-SPECIAL ORDE")</f>
        <v xml:space="preserve">          4145 - NON-TAXABLE SALES-SPECIAL ORDE</v>
      </c>
      <c r="C26" s="11"/>
      <c r="D26" s="2">
        <f t="shared" si="6"/>
        <v>0</v>
      </c>
      <c r="E26" s="2"/>
      <c r="F26" s="19"/>
      <c r="G26" s="2"/>
      <c r="H26" s="2">
        <f t="shared" ref="H26:H27" si="8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7"/>
        <v>0</v>
      </c>
      <c r="Q26" s="2"/>
      <c r="R26" s="19"/>
      <c r="S26" s="2"/>
      <c r="T26" s="2">
        <f>--7</f>
        <v>7</v>
      </c>
      <c r="U26" s="2"/>
      <c r="V26" s="19"/>
      <c r="W26" s="2"/>
      <c r="X26" s="2">
        <f t="shared" si="2"/>
        <v>-7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"4200", " - ", "TAXABLE RETURNS")</f>
        <v xml:space="preserve">          4200 - TAXABLE RETURNS</v>
      </c>
      <c r="C27" s="11"/>
      <c r="D27" s="2">
        <f>-617.14</f>
        <v>-617.14</v>
      </c>
      <c r="E27" s="2"/>
      <c r="F27" s="19"/>
      <c r="G27" s="2"/>
      <c r="H27" s="2">
        <f t="shared" si="8"/>
        <v>0</v>
      </c>
      <c r="I27" s="2"/>
      <c r="J27" s="19"/>
      <c r="K27" s="2"/>
      <c r="L27" s="2">
        <f t="shared" si="0"/>
        <v>-617.14</v>
      </c>
      <c r="M27" s="2"/>
      <c r="N27" s="19">
        <f t="shared" si="1"/>
        <v>0</v>
      </c>
      <c r="O27" s="11"/>
      <c r="P27" s="2">
        <f>-2605.38</f>
        <v>-2605.38</v>
      </c>
      <c r="Q27" s="2"/>
      <c r="R27" s="19"/>
      <c r="S27" s="2"/>
      <c r="T27" s="2">
        <f>0</f>
        <v>0</v>
      </c>
      <c r="U27" s="2"/>
      <c r="V27" s="19"/>
      <c r="W27" s="2"/>
      <c r="X27" s="2">
        <f t="shared" si="2"/>
        <v>-2605.38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"4226", " - ", "SALES RETURN TAXABLE-WRITING I")</f>
        <v xml:space="preserve">          4226 - SALES RETURN TAXABLE-WRITING I</v>
      </c>
      <c r="C28" s="11"/>
      <c r="D28" s="2">
        <f t="shared" ref="D28:D33" si="9">0</f>
        <v>0</v>
      </c>
      <c r="E28" s="2"/>
      <c r="F28" s="19"/>
      <c r="G28" s="2"/>
      <c r="H28" s="2">
        <f>-22.49</f>
        <v>-22.49</v>
      </c>
      <c r="I28" s="2"/>
      <c r="J28" s="19"/>
      <c r="K28" s="2"/>
      <c r="L28" s="2">
        <f t="shared" si="0"/>
        <v>22.49</v>
      </c>
      <c r="M28" s="2"/>
      <c r="N28" s="19">
        <f t="shared" si="1"/>
        <v>-1</v>
      </c>
      <c r="O28" s="11"/>
      <c r="P28" s="2">
        <f t="shared" ref="P28:P33" si="10">0</f>
        <v>0</v>
      </c>
      <c r="Q28" s="2"/>
      <c r="R28" s="19"/>
      <c r="S28" s="2"/>
      <c r="T28" s="2">
        <f>-22.49</f>
        <v>-22.49</v>
      </c>
      <c r="U28" s="2"/>
      <c r="V28" s="19"/>
      <c r="W28" s="2"/>
      <c r="X28" s="2">
        <f t="shared" si="2"/>
        <v>22.49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"4227", " - ", "SALES RETURN TAXABLE-SCHOOL SU")</f>
        <v xml:space="preserve">          4227 - SALES RETURN TAXABLE-SCHOOL SU</v>
      </c>
      <c r="C29" s="11"/>
      <c r="D29" s="2">
        <f t="shared" si="9"/>
        <v>0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10"/>
        <v>0</v>
      </c>
      <c r="Q29" s="2"/>
      <c r="R29" s="19"/>
      <c r="S29" s="2"/>
      <c r="T29" s="2">
        <f>-30</f>
        <v>-30</v>
      </c>
      <c r="U29" s="2"/>
      <c r="V29" s="19"/>
      <c r="W29" s="2"/>
      <c r="X29" s="2">
        <f t="shared" si="2"/>
        <v>30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"4240", " - ", "SALES RETURN TAXABLE-LOGO CLOT")</f>
        <v xml:space="preserve">          4240 - SALES RETURN TAXABLE-LOGO CLOT</v>
      </c>
      <c r="C30" s="11"/>
      <c r="D30" s="2">
        <f t="shared" si="9"/>
        <v>0</v>
      </c>
      <c r="E30" s="2"/>
      <c r="F30" s="19"/>
      <c r="G30" s="2"/>
      <c r="H30" s="2">
        <f>-453.78</f>
        <v>-453.78</v>
      </c>
      <c r="I30" s="2"/>
      <c r="J30" s="19"/>
      <c r="K30" s="2"/>
      <c r="L30" s="2">
        <f t="shared" si="0"/>
        <v>453.78</v>
      </c>
      <c r="M30" s="2"/>
      <c r="N30" s="19">
        <f t="shared" si="1"/>
        <v>-1</v>
      </c>
      <c r="O30" s="11"/>
      <c r="P30" s="2">
        <f t="shared" si="10"/>
        <v>0</v>
      </c>
      <c r="Q30" s="2"/>
      <c r="R30" s="19"/>
      <c r="S30" s="2"/>
      <c r="T30" s="2">
        <f>-1903.88</f>
        <v>-1903.88</v>
      </c>
      <c r="U30" s="2"/>
      <c r="V30" s="19"/>
      <c r="W30" s="2"/>
      <c r="X30" s="2">
        <f t="shared" si="2"/>
        <v>1903.88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"4241", " - ", "SALES RETURN TAXABLE-LOGO GIFT")</f>
        <v xml:space="preserve">          4241 - SALES RETURN TAXABLE-LOGO GIFT</v>
      </c>
      <c r="C31" s="11"/>
      <c r="D31" s="2">
        <f t="shared" si="9"/>
        <v>0</v>
      </c>
      <c r="E31" s="2"/>
      <c r="F31" s="19"/>
      <c r="G31" s="2"/>
      <c r="H31" s="2">
        <f>-31.9</f>
        <v>-31.9</v>
      </c>
      <c r="I31" s="2"/>
      <c r="J31" s="19"/>
      <c r="K31" s="2"/>
      <c r="L31" s="2">
        <f t="shared" si="0"/>
        <v>31.9</v>
      </c>
      <c r="M31" s="2"/>
      <c r="N31" s="19">
        <f t="shared" si="1"/>
        <v>-1</v>
      </c>
      <c r="O31" s="11"/>
      <c r="P31" s="2">
        <f t="shared" si="10"/>
        <v>0</v>
      </c>
      <c r="Q31" s="2"/>
      <c r="R31" s="19"/>
      <c r="S31" s="2"/>
      <c r="T31" s="2">
        <f>-94.6</f>
        <v>-94.6</v>
      </c>
      <c r="U31" s="2"/>
      <c r="V31" s="19"/>
      <c r="W31" s="2"/>
      <c r="X31" s="2">
        <f t="shared" si="2"/>
        <v>94.6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"4242", " - ", "SALES RETURN TAXABLE-EVERYDAY")</f>
        <v xml:space="preserve">          4242 - SALES RETURN TAXABLE-EVERYDAY</v>
      </c>
      <c r="C32" s="11"/>
      <c r="D32" s="2">
        <f t="shared" si="9"/>
        <v>0</v>
      </c>
      <c r="E32" s="2"/>
      <c r="F32" s="19"/>
      <c r="G32" s="2"/>
      <c r="H32" s="2">
        <f>-7.24</f>
        <v>-7.24</v>
      </c>
      <c r="I32" s="2"/>
      <c r="J32" s="19"/>
      <c r="K32" s="2"/>
      <c r="L32" s="2">
        <f t="shared" si="0"/>
        <v>7.24</v>
      </c>
      <c r="M32" s="2"/>
      <c r="N32" s="19">
        <f t="shared" si="1"/>
        <v>-1</v>
      </c>
      <c r="O32" s="11"/>
      <c r="P32" s="2">
        <f t="shared" si="10"/>
        <v>0</v>
      </c>
      <c r="Q32" s="2"/>
      <c r="R32" s="19"/>
      <c r="S32" s="2"/>
      <c r="T32" s="2">
        <f>-103.82</f>
        <v>-103.82</v>
      </c>
      <c r="U32" s="2"/>
      <c r="V32" s="19"/>
      <c r="W32" s="2"/>
      <c r="X32" s="2">
        <f t="shared" si="2"/>
        <v>103.82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"4245", " - ", "SALES RETURN TAXABLE-SPECIAL O")</f>
        <v xml:space="preserve">          4245 - SALES RETURN TAXABLE-SPECIAL O</v>
      </c>
      <c r="C33" s="11"/>
      <c r="D33" s="2">
        <f t="shared" si="9"/>
        <v>0</v>
      </c>
      <c r="E33" s="2"/>
      <c r="F33" s="19"/>
      <c r="G33" s="2"/>
      <c r="H33" s="2">
        <f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10"/>
        <v>0</v>
      </c>
      <c r="Q33" s="2"/>
      <c r="R33" s="19"/>
      <c r="S33" s="2"/>
      <c r="T33" s="2">
        <f>-7</f>
        <v>-7</v>
      </c>
      <c r="U33" s="2"/>
      <c r="V33" s="19"/>
      <c r="W33" s="2"/>
      <c r="X33" s="2">
        <f t="shared" si="2"/>
        <v>7</v>
      </c>
      <c r="Y33" s="2"/>
      <c r="Z33" s="19">
        <f t="shared" si="3"/>
        <v>-1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6" t="s">
        <v>256</v>
      </c>
      <c r="C35" s="10"/>
      <c r="D35" s="4">
        <f>SUM(OSRRefD16x_0)</f>
        <v>10953.43</v>
      </c>
      <c r="E35" s="4"/>
      <c r="F35" s="12">
        <f t="shared" ref="F35:F39" si="11">IF(D$12=0,0,D35/D$12)</f>
        <v>0.4840546213845372</v>
      </c>
      <c r="G35" s="4"/>
      <c r="H35" s="4">
        <f>SUM(OSRRefH16x_0)</f>
        <v>9366</v>
      </c>
      <c r="I35" s="4"/>
      <c r="J35" s="12">
        <f t="shared" ref="J35:J39" si="12">IF(H$12=0,0,H35/H$12)</f>
        <v>0.46907890552262038</v>
      </c>
      <c r="K35" s="4"/>
      <c r="L35" s="4">
        <f t="shared" ref="L35:L39" si="13">+D35-H35</f>
        <v>1587.4300000000003</v>
      </c>
      <c r="M35" s="4"/>
      <c r="N35" s="12">
        <f t="shared" ref="N35:N39" si="14">IF(H35=0,0,L35/H35)</f>
        <v>0.16948857569933806</v>
      </c>
      <c r="O35" s="10"/>
      <c r="P35" s="4">
        <f>SUM(OSRRefP16x_0)</f>
        <v>43566.21</v>
      </c>
      <c r="Q35" s="4"/>
      <c r="R35" s="12">
        <f t="shared" ref="R35:R39" si="15">IF(P$12=0,0,P35/P$12)</f>
        <v>0.48691169869960804</v>
      </c>
      <c r="S35" s="4"/>
      <c r="T35" s="4">
        <f>SUM(OSRRefT16x_0)</f>
        <v>28006</v>
      </c>
      <c r="U35" s="4"/>
      <c r="V35" s="12">
        <f t="shared" ref="V35:V39" si="16">IF(T$12=0,0,T35/T$12)</f>
        <v>0.40213152971948157</v>
      </c>
      <c r="W35" s="4"/>
      <c r="X35" s="4">
        <f t="shared" ref="X35:X39" si="17">+P35-T35</f>
        <v>15560.21</v>
      </c>
      <c r="Y35" s="4"/>
      <c r="Z35" s="12">
        <f t="shared" ref="Z35:Z39" si="18">IF(T35=0,0,X35/T35)</f>
        <v>0.55560272798685995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>
        <v>666.1</v>
      </c>
      <c r="E36" s="2"/>
      <c r="F36" s="19">
        <f t="shared" si="11"/>
        <v>2.9436330291446627E-2</v>
      </c>
      <c r="G36" s="2"/>
      <c r="H36" s="2"/>
      <c r="I36" s="2"/>
      <c r="J36" s="19">
        <f t="shared" si="12"/>
        <v>0</v>
      </c>
      <c r="K36" s="2"/>
      <c r="L36" s="2">
        <f t="shared" si="13"/>
        <v>666.1</v>
      </c>
      <c r="M36" s="2"/>
      <c r="N36" s="19">
        <f t="shared" si="14"/>
        <v>0</v>
      </c>
      <c r="O36" s="11"/>
      <c r="P36" s="2">
        <v>666.1</v>
      </c>
      <c r="Q36" s="2"/>
      <c r="R36" s="19">
        <f t="shared" si="15"/>
        <v>7.4445741895796981E-3</v>
      </c>
      <c r="S36" s="2"/>
      <c r="T36" s="2"/>
      <c r="U36" s="2"/>
      <c r="V36" s="19">
        <f t="shared" si="16"/>
        <v>0</v>
      </c>
      <c r="W36" s="2"/>
      <c r="X36" s="2">
        <f t="shared" si="17"/>
        <v>666.1</v>
      </c>
      <c r="Y36" s="2"/>
      <c r="Z36" s="19">
        <f t="shared" si="18"/>
        <v>0</v>
      </c>
    </row>
    <row r="37" spans="1:26" s="24" customFormat="1" hidden="1" outlineLevel="1" x14ac:dyDescent="0.25">
      <c r="A37" s="44"/>
      <c r="B37" s="11" t="str">
        <f>CONCATENATE("          ", "5040", " - ", "PURCHASES @ COST-LOGO CLOTHING")</f>
        <v xml:space="preserve">          5040 - PURCHASES @ COST-LOGO CLOTHING</v>
      </c>
      <c r="C37" s="11"/>
      <c r="D37" s="2"/>
      <c r="E37" s="2"/>
      <c r="F37" s="19">
        <f t="shared" si="11"/>
        <v>0</v>
      </c>
      <c r="G37" s="2"/>
      <c r="H37" s="2"/>
      <c r="I37" s="2"/>
      <c r="J37" s="19">
        <f t="shared" si="12"/>
        <v>0</v>
      </c>
      <c r="K37" s="2"/>
      <c r="L37" s="2">
        <f t="shared" si="13"/>
        <v>0</v>
      </c>
      <c r="M37" s="2"/>
      <c r="N37" s="19">
        <f t="shared" si="14"/>
        <v>0</v>
      </c>
      <c r="O37" s="11"/>
      <c r="P37" s="2"/>
      <c r="Q37" s="2"/>
      <c r="R37" s="19">
        <f t="shared" si="15"/>
        <v>0</v>
      </c>
      <c r="S37" s="2"/>
      <c r="T37" s="2">
        <v>0</v>
      </c>
      <c r="U37" s="2"/>
      <c r="V37" s="19">
        <f t="shared" si="16"/>
        <v>0</v>
      </c>
      <c r="W37" s="2"/>
      <c r="X37" s="2">
        <f t="shared" si="17"/>
        <v>0</v>
      </c>
      <c r="Y37" s="2"/>
      <c r="Z37" s="19">
        <f t="shared" si="18"/>
        <v>0</v>
      </c>
    </row>
    <row r="38" spans="1:26" s="24" customFormat="1" hidden="1" outlineLevel="1" x14ac:dyDescent="0.25">
      <c r="A38" s="44"/>
      <c r="B38" s="11" t="str">
        <f>CONCATENATE("          ", "5200", " - ", "PURCHASES OFFSET")</f>
        <v xml:space="preserve">          5200 - PURCHASES OFFSET</v>
      </c>
      <c r="C38" s="11"/>
      <c r="D38" s="2">
        <v>-666.1</v>
      </c>
      <c r="E38" s="2"/>
      <c r="F38" s="19">
        <f t="shared" si="11"/>
        <v>-2.9436330291446627E-2</v>
      </c>
      <c r="G38" s="2"/>
      <c r="H38" s="2"/>
      <c r="I38" s="2"/>
      <c r="J38" s="19">
        <f t="shared" si="12"/>
        <v>0</v>
      </c>
      <c r="K38" s="2"/>
      <c r="L38" s="2">
        <f t="shared" si="13"/>
        <v>-666.1</v>
      </c>
      <c r="M38" s="2"/>
      <c r="N38" s="19">
        <f t="shared" si="14"/>
        <v>0</v>
      </c>
      <c r="O38" s="11"/>
      <c r="P38" s="2">
        <v>-666.1</v>
      </c>
      <c r="Q38" s="2"/>
      <c r="R38" s="19">
        <f t="shared" si="15"/>
        <v>-7.4445741895796981E-3</v>
      </c>
      <c r="S38" s="2"/>
      <c r="T38" s="2"/>
      <c r="U38" s="2"/>
      <c r="V38" s="19">
        <f t="shared" si="16"/>
        <v>0</v>
      </c>
      <c r="W38" s="2"/>
      <c r="X38" s="2">
        <f t="shared" si="17"/>
        <v>-666.1</v>
      </c>
      <c r="Y38" s="2"/>
      <c r="Z38" s="19">
        <f t="shared" si="18"/>
        <v>0</v>
      </c>
    </row>
    <row r="39" spans="1:26" s="24" customFormat="1" hidden="1" outlineLevel="1" x14ac:dyDescent="0.25">
      <c r="A39" s="44"/>
      <c r="B39" s="11" t="str">
        <f>CONCATENATE("          ", "5300", " - ", "COG$ OFFSET")</f>
        <v xml:space="preserve">          5300 - COG$ OFFSET</v>
      </c>
      <c r="C39" s="11"/>
      <c r="D39" s="2">
        <v>10953.43</v>
      </c>
      <c r="E39" s="2"/>
      <c r="F39" s="19">
        <f t="shared" si="11"/>
        <v>0.4840546213845372</v>
      </c>
      <c r="G39" s="2"/>
      <c r="H39" s="2">
        <v>9366</v>
      </c>
      <c r="I39" s="2"/>
      <c r="J39" s="19">
        <f t="shared" si="12"/>
        <v>0.46907890552262038</v>
      </c>
      <c r="K39" s="2"/>
      <c r="L39" s="2">
        <f t="shared" si="13"/>
        <v>1587.4300000000003</v>
      </c>
      <c r="M39" s="2"/>
      <c r="N39" s="19">
        <f t="shared" si="14"/>
        <v>0.16948857569933806</v>
      </c>
      <c r="O39" s="11"/>
      <c r="P39" s="2">
        <v>43566.21</v>
      </c>
      <c r="Q39" s="2"/>
      <c r="R39" s="19">
        <f t="shared" si="15"/>
        <v>0.48691169869960804</v>
      </c>
      <c r="S39" s="2"/>
      <c r="T39" s="2">
        <v>28006</v>
      </c>
      <c r="U39" s="2"/>
      <c r="V39" s="19">
        <f t="shared" si="16"/>
        <v>0.40213152971948157</v>
      </c>
      <c r="W39" s="2"/>
      <c r="X39" s="2">
        <f t="shared" si="17"/>
        <v>15560.21</v>
      </c>
      <c r="Y39" s="2"/>
      <c r="Z39" s="19">
        <f t="shared" si="18"/>
        <v>0.55560272798685995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x14ac:dyDescent="0.25">
      <c r="A41" s="10"/>
      <c r="B41" s="25" t="s">
        <v>107</v>
      </c>
      <c r="C41" s="25"/>
      <c r="D41" s="21">
        <f>D12-D35</f>
        <v>11675.07</v>
      </c>
      <c r="E41" s="13"/>
      <c r="F41" s="22">
        <f>IF(D$12=0,0,D41/D$12)</f>
        <v>0.51594537861546275</v>
      </c>
      <c r="G41" s="13"/>
      <c r="H41" s="21">
        <f>H12-H35</f>
        <v>10600.789999999997</v>
      </c>
      <c r="I41" s="13"/>
      <c r="J41" s="22">
        <f>IF(H$12=0,0,H41/H$12)</f>
        <v>0.53092109447737967</v>
      </c>
      <c r="K41" s="16"/>
      <c r="L41" s="21">
        <f>+D41-H41</f>
        <v>1074.2800000000025</v>
      </c>
      <c r="M41" s="16"/>
      <c r="N41" s="22">
        <f>IF(H41=0,0,L41/H41)</f>
        <v>0.10133961714174158</v>
      </c>
      <c r="O41" s="26"/>
      <c r="P41" s="21">
        <f>P12-P35</f>
        <v>45908.35</v>
      </c>
      <c r="Q41" s="13"/>
      <c r="R41" s="22">
        <f>IF(P$12=0,0,P41/P$12)</f>
        <v>0.51308830130039196</v>
      </c>
      <c r="S41" s="13"/>
      <c r="T41" s="21">
        <f>T12-T35</f>
        <v>41637.879999999976</v>
      </c>
      <c r="U41" s="13"/>
      <c r="V41" s="22">
        <f>IF(T$12=0,0,T41/T$12)</f>
        <v>0.59786847028051837</v>
      </c>
      <c r="W41" s="16"/>
      <c r="X41" s="21">
        <f>+P41-T41</f>
        <v>4270.470000000023</v>
      </c>
      <c r="Y41" s="16"/>
      <c r="Z41" s="22">
        <f>IF(T41=0,0,X41/T41)</f>
        <v>0.10256213812999186</v>
      </c>
    </row>
    <row r="42" spans="1:26" x14ac:dyDescent="0.25">
      <c r="A42" s="9"/>
      <c r="B42" s="10"/>
      <c r="C42" s="9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7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3" customFormat="1" x14ac:dyDescent="0.25">
      <c r="A43" s="10"/>
      <c r="B43" s="26" t="s">
        <v>294</v>
      </c>
      <c r="C43" s="10"/>
      <c r="D43" s="20">
        <f>SUM(OSRRefD22x_0)</f>
        <v>14719.130000000001</v>
      </c>
      <c r="E43" s="20"/>
      <c r="F43" s="30">
        <f t="shared" ref="F43:F52" si="19">IF(D$12=0,0,D43/D$12)</f>
        <v>0.6504686567823762</v>
      </c>
      <c r="G43" s="20"/>
      <c r="H43" s="20">
        <f>SUM(OSRRefH22x_0)</f>
        <v>21661.780000000002</v>
      </c>
      <c r="I43" s="20"/>
      <c r="J43" s="30">
        <f t="shared" ref="J43:J52" si="20">IF(H$12=0,0,H43/H$12)</f>
        <v>1.0848904606098428</v>
      </c>
      <c r="K43" s="4"/>
      <c r="L43" s="20">
        <f t="shared" ref="L43:L52" si="21">+D43-H43</f>
        <v>-6942.6500000000015</v>
      </c>
      <c r="M43" s="4"/>
      <c r="N43" s="30">
        <f t="shared" ref="N43:N52" si="22">IF(H43=0,0,L43/H43)</f>
        <v>-0.32050228559241212</v>
      </c>
      <c r="O43" s="10"/>
      <c r="P43" s="20">
        <f>SUM(OSRRefP22x_0)</f>
        <v>48005.179999999993</v>
      </c>
      <c r="Q43" s="20"/>
      <c r="R43" s="30">
        <f t="shared" ref="R43:R52" si="23">IF(P$12=0,0,P43/P$12)</f>
        <v>0.53652323073731789</v>
      </c>
      <c r="S43" s="20"/>
      <c r="T43" s="20">
        <f>SUM(OSRRefT22x_0)</f>
        <v>63098.049999999981</v>
      </c>
      <c r="U43" s="20"/>
      <c r="V43" s="30">
        <f t="shared" ref="V43:V52" si="24">IF(T$12=0,0,T43/T$12)</f>
        <v>0.90600997532015737</v>
      </c>
      <c r="W43" s="4"/>
      <c r="X43" s="20">
        <f t="shared" ref="X43:X52" si="25">+P43-T43</f>
        <v>-15092.869999999988</v>
      </c>
      <c r="Y43" s="4"/>
      <c r="Z43" s="30">
        <f t="shared" ref="Z43:Z52" si="26">IF(T43=0,0,X43/T43)</f>
        <v>-0.23919709087681779</v>
      </c>
    </row>
    <row r="44" spans="1:26" s="27" customFormat="1" outlineLevel="1" collapsed="1" x14ac:dyDescent="0.25">
      <c r="A44" s="29"/>
      <c r="B44" s="14" t="str">
        <f>CONCATENATE("     ","*Benefits                                         ")</f>
        <v xml:space="preserve">     *Benefits                                         </v>
      </c>
      <c r="C44" s="14"/>
      <c r="D44" s="1">
        <f>SUM(OSRRefD22_0x_0)</f>
        <v>1131.5899999999999</v>
      </c>
      <c r="E44" s="1"/>
      <c r="F44" s="5">
        <f t="shared" si="19"/>
        <v>5.0007291689683361E-2</v>
      </c>
      <c r="G44" s="1"/>
      <c r="H44" s="1">
        <f>SUM(OSRRefH22_0x_0)</f>
        <v>5184.3499999999995</v>
      </c>
      <c r="I44" s="1"/>
      <c r="J44" s="5">
        <f t="shared" si="20"/>
        <v>0.25964864657764219</v>
      </c>
      <c r="K44" s="1"/>
      <c r="L44" s="1">
        <f t="shared" si="21"/>
        <v>-4052.7599999999993</v>
      </c>
      <c r="M44" s="1"/>
      <c r="N44" s="5">
        <f t="shared" si="22"/>
        <v>-0.78172962859374839</v>
      </c>
      <c r="O44" s="14"/>
      <c r="P44" s="1">
        <f>SUM(OSRRefP22_0x_0)</f>
        <v>3809.09</v>
      </c>
      <c r="Q44" s="1"/>
      <c r="R44" s="5">
        <f t="shared" si="23"/>
        <v>4.2571765650482103E-2</v>
      </c>
      <c r="S44" s="1"/>
      <c r="T44" s="1">
        <f>SUM(OSRRefT22_0x_0)</f>
        <v>14977.500000000002</v>
      </c>
      <c r="U44" s="1"/>
      <c r="V44" s="5">
        <f t="shared" si="24"/>
        <v>0.21505837986051332</v>
      </c>
      <c r="W44" s="1"/>
      <c r="X44" s="1">
        <f t="shared" si="25"/>
        <v>-11168.410000000002</v>
      </c>
      <c r="Y44" s="1"/>
      <c r="Z44" s="5">
        <f t="shared" si="26"/>
        <v>-0.74567918544483391</v>
      </c>
    </row>
    <row r="45" spans="1:26" s="24" customFormat="1" hidden="1" outlineLevel="2" x14ac:dyDescent="0.25">
      <c r="A45" s="28"/>
      <c r="B45" s="11" t="str">
        <f>CONCATENATE("          ", "6111", " - ", "F.I.C.A.")</f>
        <v xml:space="preserve">          6111 - F.I.C.A.</v>
      </c>
      <c r="C45" s="11"/>
      <c r="D45" s="7">
        <v>152.18</v>
      </c>
      <c r="E45" s="2"/>
      <c r="F45" s="6">
        <f t="shared" si="19"/>
        <v>6.725147490995868E-3</v>
      </c>
      <c r="G45" s="2"/>
      <c r="H45" s="7">
        <v>669.38</v>
      </c>
      <c r="I45" s="2"/>
      <c r="J45" s="6">
        <f t="shared" si="20"/>
        <v>3.3524667710733674E-2</v>
      </c>
      <c r="K45" s="2"/>
      <c r="L45" s="7">
        <f t="shared" si="21"/>
        <v>-517.20000000000005</v>
      </c>
      <c r="M45" s="2"/>
      <c r="N45" s="6">
        <f t="shared" si="22"/>
        <v>-0.77265529295766244</v>
      </c>
      <c r="O45" s="11"/>
      <c r="P45" s="7">
        <v>946.44</v>
      </c>
      <c r="Q45" s="2"/>
      <c r="R45" s="6">
        <f t="shared" si="23"/>
        <v>1.0577755285971789E-2</v>
      </c>
      <c r="S45" s="2"/>
      <c r="T45" s="7">
        <v>2210.0100000000002</v>
      </c>
      <c r="U45" s="2"/>
      <c r="V45" s="6">
        <f t="shared" si="24"/>
        <v>3.1733010854650849E-2</v>
      </c>
      <c r="W45" s="2"/>
      <c r="X45" s="7">
        <f t="shared" si="25"/>
        <v>-1263.5700000000002</v>
      </c>
      <c r="Y45" s="2"/>
      <c r="Z45" s="6">
        <f t="shared" si="26"/>
        <v>-0.5717485441242347</v>
      </c>
    </row>
    <row r="46" spans="1:26" s="24" customFormat="1" hidden="1" outlineLevel="2" x14ac:dyDescent="0.25">
      <c r="A46" s="28"/>
      <c r="B46" s="11" t="str">
        <f>CONCATENATE("          ", "6112", " - ", "COMPENSATION INSURANCE")</f>
        <v xml:space="preserve">          6112 - COMPENSATION INSURANCE</v>
      </c>
      <c r="C46" s="11"/>
      <c r="D46" s="7">
        <v>73.31</v>
      </c>
      <c r="E46" s="2"/>
      <c r="F46" s="6">
        <f t="shared" si="19"/>
        <v>3.239719822347924E-3</v>
      </c>
      <c r="G46" s="2"/>
      <c r="H46" s="7">
        <v>245.98</v>
      </c>
      <c r="I46" s="2"/>
      <c r="J46" s="6">
        <f t="shared" si="20"/>
        <v>1.2319456457447593E-2</v>
      </c>
      <c r="K46" s="2"/>
      <c r="L46" s="7">
        <f t="shared" si="21"/>
        <v>-172.67</v>
      </c>
      <c r="M46" s="2"/>
      <c r="N46" s="6">
        <f t="shared" si="22"/>
        <v>-0.70196763964549957</v>
      </c>
      <c r="O46" s="11"/>
      <c r="P46" s="7">
        <v>157.71</v>
      </c>
      <c r="Q46" s="2"/>
      <c r="R46" s="6">
        <f t="shared" si="23"/>
        <v>1.7626239234928903E-3</v>
      </c>
      <c r="S46" s="2"/>
      <c r="T46" s="7">
        <v>858.02</v>
      </c>
      <c r="U46" s="2"/>
      <c r="V46" s="6">
        <f t="shared" si="24"/>
        <v>1.2320106231875655E-2</v>
      </c>
      <c r="W46" s="2"/>
      <c r="X46" s="7">
        <f t="shared" si="25"/>
        <v>-700.31</v>
      </c>
      <c r="Y46" s="2"/>
      <c r="Z46" s="6">
        <f t="shared" si="26"/>
        <v>-0.81619309573203414</v>
      </c>
    </row>
    <row r="47" spans="1:26" s="24" customFormat="1" hidden="1" outlineLevel="2" x14ac:dyDescent="0.25">
      <c r="A47" s="28"/>
      <c r="B47" s="11" t="str">
        <f>CONCATENATE("          ", "6113", " - ", "GROUP INSURANCE")</f>
        <v xml:space="preserve">          6113 - GROUP INSURANCE</v>
      </c>
      <c r="C47" s="11"/>
      <c r="D47" s="7">
        <v>537.95000000000005</v>
      </c>
      <c r="E47" s="2"/>
      <c r="F47" s="6">
        <f t="shared" si="19"/>
        <v>2.3773117970700666E-2</v>
      </c>
      <c r="G47" s="2"/>
      <c r="H47" s="7">
        <v>2714.98</v>
      </c>
      <c r="I47" s="2"/>
      <c r="J47" s="6">
        <f t="shared" si="20"/>
        <v>0.13597478613237282</v>
      </c>
      <c r="K47" s="2"/>
      <c r="L47" s="7">
        <f t="shared" si="21"/>
        <v>-2177.0299999999997</v>
      </c>
      <c r="M47" s="2"/>
      <c r="N47" s="6">
        <f t="shared" si="22"/>
        <v>-0.80185857722708809</v>
      </c>
      <c r="O47" s="11"/>
      <c r="P47" s="7">
        <v>1591.35</v>
      </c>
      <c r="Q47" s="2"/>
      <c r="R47" s="6">
        <f t="shared" si="23"/>
        <v>1.7785502381906095E-2</v>
      </c>
      <c r="S47" s="2"/>
      <c r="T47" s="7">
        <v>7442.43</v>
      </c>
      <c r="U47" s="2"/>
      <c r="V47" s="6">
        <f t="shared" si="24"/>
        <v>0.10686409200636154</v>
      </c>
      <c r="W47" s="2"/>
      <c r="X47" s="7">
        <f t="shared" si="25"/>
        <v>-5851.08</v>
      </c>
      <c r="Y47" s="2"/>
      <c r="Z47" s="6">
        <f t="shared" si="26"/>
        <v>-0.78617870776077159</v>
      </c>
    </row>
    <row r="48" spans="1:26" s="24" customFormat="1" hidden="1" outlineLevel="2" x14ac:dyDescent="0.25">
      <c r="A48" s="28"/>
      <c r="B48" s="11" t="str">
        <f>CONCATENATE("          ", "6114", " - ", "STATE UNEMPLOYMENT INSURANCE")</f>
        <v xml:space="preserve">          6114 - STATE UNEMPLOYMENT INSURANCE</v>
      </c>
      <c r="C48" s="11"/>
      <c r="D48" s="7">
        <v>12.88</v>
      </c>
      <c r="E48" s="2"/>
      <c r="F48" s="6">
        <f t="shared" si="19"/>
        <v>5.6919371588925473E-4</v>
      </c>
      <c r="G48" s="2"/>
      <c r="H48" s="7">
        <v>34.57</v>
      </c>
      <c r="I48" s="2"/>
      <c r="J48" s="6">
        <f t="shared" si="20"/>
        <v>1.7313749481013224E-3</v>
      </c>
      <c r="K48" s="2"/>
      <c r="L48" s="7">
        <f t="shared" si="21"/>
        <v>-21.689999999999998</v>
      </c>
      <c r="M48" s="2"/>
      <c r="N48" s="6">
        <f t="shared" si="22"/>
        <v>-0.62742262076945321</v>
      </c>
      <c r="O48" s="11"/>
      <c r="P48" s="7">
        <v>27.7</v>
      </c>
      <c r="Q48" s="2"/>
      <c r="R48" s="6">
        <f t="shared" si="23"/>
        <v>3.0958520500128751E-4</v>
      </c>
      <c r="S48" s="2"/>
      <c r="T48" s="7">
        <v>94.24</v>
      </c>
      <c r="U48" s="2"/>
      <c r="V48" s="6">
        <f t="shared" si="24"/>
        <v>1.3531698693409963E-3</v>
      </c>
      <c r="W48" s="2"/>
      <c r="X48" s="7">
        <f t="shared" si="25"/>
        <v>-66.539999999999992</v>
      </c>
      <c r="Y48" s="2"/>
      <c r="Z48" s="6">
        <f t="shared" si="26"/>
        <v>-0.70606960950763997</v>
      </c>
    </row>
    <row r="49" spans="1:26" s="24" customFormat="1" hidden="1" outlineLevel="2" x14ac:dyDescent="0.25">
      <c r="A49" s="28"/>
      <c r="B49" s="11" t="str">
        <f>CONCATENATE("          ", "6115", " - ", "P.E.R.S.")</f>
        <v xml:space="preserve">          6115 - P.E.R.S.</v>
      </c>
      <c r="C49" s="11"/>
      <c r="D49" s="7">
        <v>88.89</v>
      </c>
      <c r="E49" s="2"/>
      <c r="F49" s="6">
        <f t="shared" si="19"/>
        <v>3.9282320966922248E-3</v>
      </c>
      <c r="G49" s="2"/>
      <c r="H49" s="7">
        <v>362.12</v>
      </c>
      <c r="I49" s="2"/>
      <c r="J49" s="6">
        <f t="shared" si="20"/>
        <v>1.8136115018989034E-2</v>
      </c>
      <c r="K49" s="2"/>
      <c r="L49" s="7">
        <f t="shared" si="21"/>
        <v>-273.23</v>
      </c>
      <c r="M49" s="2"/>
      <c r="N49" s="6">
        <f t="shared" si="22"/>
        <v>-0.75452888545233632</v>
      </c>
      <c r="O49" s="11"/>
      <c r="P49" s="7">
        <v>266.67</v>
      </c>
      <c r="Q49" s="2"/>
      <c r="R49" s="6">
        <f t="shared" si="23"/>
        <v>2.980400238905897E-3</v>
      </c>
      <c r="S49" s="2"/>
      <c r="T49" s="7">
        <v>1267.42</v>
      </c>
      <c r="U49" s="2"/>
      <c r="V49" s="6">
        <f t="shared" si="24"/>
        <v>1.8198583996181725E-2</v>
      </c>
      <c r="W49" s="2"/>
      <c r="X49" s="7">
        <f t="shared" si="25"/>
        <v>-1000.75</v>
      </c>
      <c r="Y49" s="2"/>
      <c r="Z49" s="6">
        <f t="shared" si="26"/>
        <v>-0.78959618753057392</v>
      </c>
    </row>
    <row r="50" spans="1:26" s="24" customFormat="1" hidden="1" outlineLevel="2" x14ac:dyDescent="0.25">
      <c r="A50" s="28"/>
      <c r="B50" s="11" t="str">
        <f>CONCATENATE("          ", "6118", " - ", "VACATION")</f>
        <v xml:space="preserve">          6118 - VACATION</v>
      </c>
      <c r="C50" s="11"/>
      <c r="D50" s="7">
        <v>85.64</v>
      </c>
      <c r="E50" s="2"/>
      <c r="F50" s="6">
        <f t="shared" si="19"/>
        <v>3.7846079059592991E-3</v>
      </c>
      <c r="G50" s="2"/>
      <c r="H50" s="7">
        <v>498.76</v>
      </c>
      <c r="I50" s="2"/>
      <c r="J50" s="6">
        <f t="shared" si="20"/>
        <v>2.4979478423922927E-2</v>
      </c>
      <c r="K50" s="2"/>
      <c r="L50" s="7">
        <f t="shared" si="21"/>
        <v>-413.12</v>
      </c>
      <c r="M50" s="2"/>
      <c r="N50" s="6">
        <f t="shared" si="22"/>
        <v>-0.82829416954046031</v>
      </c>
      <c r="O50" s="11"/>
      <c r="P50" s="7">
        <v>256.92</v>
      </c>
      <c r="Q50" s="2"/>
      <c r="R50" s="6">
        <f t="shared" si="23"/>
        <v>2.8714307172899205E-3</v>
      </c>
      <c r="S50" s="2"/>
      <c r="T50" s="7">
        <v>1400.03</v>
      </c>
      <c r="U50" s="2"/>
      <c r="V50" s="6">
        <f t="shared" si="24"/>
        <v>2.0102699619837384E-2</v>
      </c>
      <c r="W50" s="2"/>
      <c r="X50" s="7">
        <f t="shared" si="25"/>
        <v>-1143.1099999999999</v>
      </c>
      <c r="Y50" s="2"/>
      <c r="Z50" s="6">
        <f t="shared" si="26"/>
        <v>-0.81648964665042889</v>
      </c>
    </row>
    <row r="51" spans="1:26" s="24" customFormat="1" hidden="1" outlineLevel="2" x14ac:dyDescent="0.25">
      <c r="A51" s="28"/>
      <c r="B51" s="11" t="str">
        <f>CONCATENATE("          ", "6119", " - ", "SICK LEAVE")</f>
        <v xml:space="preserve">          6119 - SICK LEAVE</v>
      </c>
      <c r="C51" s="11"/>
      <c r="D51" s="7">
        <v>54.02</v>
      </c>
      <c r="E51" s="2"/>
      <c r="F51" s="6">
        <f t="shared" si="19"/>
        <v>2.387255010274654E-3</v>
      </c>
      <c r="G51" s="2"/>
      <c r="H51" s="7">
        <v>446.7</v>
      </c>
      <c r="I51" s="2"/>
      <c r="J51" s="6">
        <f t="shared" si="20"/>
        <v>2.2372148953337018E-2</v>
      </c>
      <c r="K51" s="2"/>
      <c r="L51" s="7">
        <f t="shared" si="21"/>
        <v>-392.68</v>
      </c>
      <c r="M51" s="2"/>
      <c r="N51" s="6">
        <f t="shared" si="22"/>
        <v>-0.87906872621446164</v>
      </c>
      <c r="O51" s="11"/>
      <c r="P51" s="7">
        <v>162.06</v>
      </c>
      <c r="Q51" s="2"/>
      <c r="R51" s="6">
        <f t="shared" si="23"/>
        <v>1.8112410946754028E-3</v>
      </c>
      <c r="S51" s="2"/>
      <c r="T51" s="7">
        <v>1116.75</v>
      </c>
      <c r="U51" s="2"/>
      <c r="V51" s="6">
        <f t="shared" si="24"/>
        <v>1.6035149104271625E-2</v>
      </c>
      <c r="W51" s="2"/>
      <c r="X51" s="7">
        <f t="shared" si="25"/>
        <v>-954.69</v>
      </c>
      <c r="Y51" s="2"/>
      <c r="Z51" s="6">
        <f t="shared" si="26"/>
        <v>-0.85488247145735397</v>
      </c>
    </row>
    <row r="52" spans="1:26" s="24" customFormat="1" hidden="1" outlineLevel="2" x14ac:dyDescent="0.25">
      <c r="A52" s="28"/>
      <c r="B52" s="11" t="str">
        <f>CONCATENATE("          ", "6156", " - ", "EMPLOYEE MEALS")</f>
        <v xml:space="preserve">          6156 - EMPLOYEE MEALS</v>
      </c>
      <c r="C52" s="11"/>
      <c r="D52" s="7">
        <v>126.72</v>
      </c>
      <c r="E52" s="2"/>
      <c r="F52" s="6">
        <f t="shared" si="19"/>
        <v>5.6000176768234745E-3</v>
      </c>
      <c r="G52" s="2"/>
      <c r="H52" s="7">
        <v>211.86</v>
      </c>
      <c r="I52" s="2"/>
      <c r="J52" s="6">
        <f t="shared" si="20"/>
        <v>1.0610618932737813E-2</v>
      </c>
      <c r="K52" s="2"/>
      <c r="L52" s="7">
        <f t="shared" si="21"/>
        <v>-85.140000000000015</v>
      </c>
      <c r="M52" s="2"/>
      <c r="N52" s="6">
        <f t="shared" si="22"/>
        <v>-0.40186915887850472</v>
      </c>
      <c r="O52" s="11"/>
      <c r="P52" s="7">
        <v>400.24</v>
      </c>
      <c r="Q52" s="2"/>
      <c r="R52" s="6">
        <f t="shared" si="23"/>
        <v>4.4732268032388204E-3</v>
      </c>
      <c r="S52" s="2"/>
      <c r="T52" s="7">
        <v>588.6</v>
      </c>
      <c r="U52" s="2"/>
      <c r="V52" s="6">
        <f t="shared" si="24"/>
        <v>8.4515681779935327E-3</v>
      </c>
      <c r="W52" s="2"/>
      <c r="X52" s="7">
        <f t="shared" si="25"/>
        <v>-188.36</v>
      </c>
      <c r="Y52" s="2"/>
      <c r="Z52" s="6">
        <f t="shared" si="26"/>
        <v>-0.32001359157322462</v>
      </c>
    </row>
    <row r="53" spans="1:26" s="27" customFormat="1" outlineLevel="1" collapsed="1" x14ac:dyDescent="0.25">
      <c r="A53" s="29"/>
      <c r="B53" s="14" t="str">
        <f>CONCATENATE("     ","*Payroll                                          ")</f>
        <v xml:space="preserve">     *Payroll                                          </v>
      </c>
      <c r="C53" s="14"/>
      <c r="D53" s="1">
        <f>SUM(OSRRefD22_1x_0)</f>
        <v>5414.35</v>
      </c>
      <c r="E53" s="1"/>
      <c r="F53" s="5">
        <f t="shared" ref="F53:F58" si="27">IF(D$12=0,0,D53/D$12)</f>
        <v>0.23927127295225051</v>
      </c>
      <c r="G53" s="1"/>
      <c r="H53" s="1">
        <f>SUM(OSRRefH22_1x_0)</f>
        <v>7185.8399999999992</v>
      </c>
      <c r="I53" s="1"/>
      <c r="J53" s="5">
        <f t="shared" ref="J53:J58" si="28">IF(H$12=0,0,H53/H$12)</f>
        <v>0.35988959667527931</v>
      </c>
      <c r="K53" s="1"/>
      <c r="L53" s="1">
        <f t="shared" ref="L53:L58" si="29">+D53-H53</f>
        <v>-1771.4899999999989</v>
      </c>
      <c r="M53" s="1"/>
      <c r="N53" s="5">
        <f t="shared" ref="N53:N58" si="30">IF(H53=0,0,L53/H53)</f>
        <v>-0.24652511049508466</v>
      </c>
      <c r="O53" s="14"/>
      <c r="P53" s="1">
        <f>SUM(OSRRefP22_1x_0)</f>
        <v>17546.579999999998</v>
      </c>
      <c r="Q53" s="1"/>
      <c r="R53" s="5">
        <f t="shared" ref="R53:R58" si="31">IF(P$12=0,0,P53/P$12)</f>
        <v>0.19610691575348344</v>
      </c>
      <c r="S53" s="1"/>
      <c r="T53" s="1">
        <f>SUM(OSRRefT22_1x_0)</f>
        <v>22934.48</v>
      </c>
      <c r="U53" s="1"/>
      <c r="V53" s="5">
        <f t="shared" ref="V53:V58" si="32">IF(T$12=0,0,T53/T$12)</f>
        <v>0.3293107736099713</v>
      </c>
      <c r="W53" s="1"/>
      <c r="X53" s="1">
        <f t="shared" ref="X53:X58" si="33">+P53-T53</f>
        <v>-5387.9000000000015</v>
      </c>
      <c r="Y53" s="1"/>
      <c r="Z53" s="5">
        <f t="shared" ref="Z53:Z58" si="34">IF(T53=0,0,X53/T53)</f>
        <v>-0.23492575371231444</v>
      </c>
    </row>
    <row r="54" spans="1:26" s="24" customFormat="1" hidden="1" outlineLevel="2" x14ac:dyDescent="0.25">
      <c r="A54" s="28"/>
      <c r="B54" s="11" t="str">
        <f>CONCATENATE("          ", "6002", " - ", "STAFF SALARIES")</f>
        <v xml:space="preserve">          6002 - STAFF SALARIES</v>
      </c>
      <c r="C54" s="11"/>
      <c r="D54" s="7">
        <v>1112.5999999999999</v>
      </c>
      <c r="E54" s="2"/>
      <c r="F54" s="6">
        <f t="shared" si="27"/>
        <v>4.9168084495216202E-2</v>
      </c>
      <c r="G54" s="2"/>
      <c r="H54" s="7">
        <v>4684.62</v>
      </c>
      <c r="I54" s="2"/>
      <c r="J54" s="6">
        <f t="shared" si="28"/>
        <v>0.23462058748551973</v>
      </c>
      <c r="K54" s="2"/>
      <c r="L54" s="7">
        <f t="shared" si="29"/>
        <v>-3572.02</v>
      </c>
      <c r="M54" s="2"/>
      <c r="N54" s="6">
        <f t="shared" si="30"/>
        <v>-0.76249941297266377</v>
      </c>
      <c r="O54" s="11"/>
      <c r="P54" s="7">
        <v>3689.36</v>
      </c>
      <c r="Q54" s="2"/>
      <c r="R54" s="6">
        <f t="shared" si="31"/>
        <v>4.1233619925037913E-2</v>
      </c>
      <c r="S54" s="2"/>
      <c r="T54" s="7">
        <v>15224.86</v>
      </c>
      <c r="U54" s="2"/>
      <c r="V54" s="6">
        <f t="shared" si="32"/>
        <v>0.21861016359226404</v>
      </c>
      <c r="W54" s="2"/>
      <c r="X54" s="7">
        <f t="shared" si="33"/>
        <v>-11535.5</v>
      </c>
      <c r="Y54" s="2"/>
      <c r="Z54" s="6">
        <f t="shared" si="34"/>
        <v>-0.75767527583176464</v>
      </c>
    </row>
    <row r="55" spans="1:26" s="24" customFormat="1" hidden="1" outlineLevel="2" x14ac:dyDescent="0.25">
      <c r="A55" s="28"/>
      <c r="B55" s="11" t="str">
        <f>CONCATENATE("          ", "6004", " - ", "STAFF HOURLY")</f>
        <v xml:space="preserve">          6004 - STAFF HOURLY</v>
      </c>
      <c r="C55" s="11"/>
      <c r="D55" s="7"/>
      <c r="E55" s="2"/>
      <c r="F55" s="6">
        <f t="shared" si="27"/>
        <v>0</v>
      </c>
      <c r="G55" s="2"/>
      <c r="H55" s="7">
        <v>-207.97</v>
      </c>
      <c r="I55" s="2"/>
      <c r="J55" s="6">
        <f t="shared" si="28"/>
        <v>-1.0415795428308708E-2</v>
      </c>
      <c r="K55" s="2"/>
      <c r="L55" s="7">
        <f t="shared" si="29"/>
        <v>207.97</v>
      </c>
      <c r="M55" s="2"/>
      <c r="N55" s="6">
        <f t="shared" si="30"/>
        <v>-1</v>
      </c>
      <c r="O55" s="11"/>
      <c r="P55" s="7">
        <v>231.35</v>
      </c>
      <c r="Q55" s="2"/>
      <c r="R55" s="6">
        <f t="shared" si="31"/>
        <v>2.5856511616262766E-3</v>
      </c>
      <c r="S55" s="2"/>
      <c r="T55" s="7">
        <v>-369.06</v>
      </c>
      <c r="U55" s="2"/>
      <c r="V55" s="6">
        <f t="shared" si="32"/>
        <v>-5.2992452459570049E-3</v>
      </c>
      <c r="W55" s="2"/>
      <c r="X55" s="7">
        <f t="shared" si="33"/>
        <v>600.41</v>
      </c>
      <c r="Y55" s="2"/>
      <c r="Z55" s="6">
        <f t="shared" si="34"/>
        <v>-1.6268628407305044</v>
      </c>
    </row>
    <row r="56" spans="1:26" s="24" customFormat="1" hidden="1" outlineLevel="2" x14ac:dyDescent="0.25">
      <c r="A56" s="28"/>
      <c r="B56" s="11" t="str">
        <f>CONCATENATE("          ", "6005", " - ", "TEMPORARY WAGES-HOURLY")</f>
        <v xml:space="preserve">          6005 - TEMPORARY WAGES-HOURLY</v>
      </c>
      <c r="C56" s="11"/>
      <c r="D56" s="7">
        <v>818.12</v>
      </c>
      <c r="E56" s="2"/>
      <c r="F56" s="6">
        <f t="shared" si="27"/>
        <v>3.6154407053052569E-2</v>
      </c>
      <c r="G56" s="2"/>
      <c r="H56" s="7">
        <v>1332.13</v>
      </c>
      <c r="I56" s="2"/>
      <c r="J56" s="6">
        <f t="shared" si="28"/>
        <v>6.6717284050165318E-2</v>
      </c>
      <c r="K56" s="2"/>
      <c r="L56" s="7">
        <f t="shared" si="29"/>
        <v>-514.0100000000001</v>
      </c>
      <c r="M56" s="2"/>
      <c r="N56" s="6">
        <f t="shared" si="30"/>
        <v>-0.38585573480065766</v>
      </c>
      <c r="O56" s="11"/>
      <c r="P56" s="7">
        <v>2481.77</v>
      </c>
      <c r="Q56" s="2"/>
      <c r="R56" s="6">
        <f t="shared" si="31"/>
        <v>2.7737157913936654E-2</v>
      </c>
      <c r="S56" s="2"/>
      <c r="T56" s="7">
        <v>3629.77</v>
      </c>
      <c r="U56" s="2"/>
      <c r="V56" s="6">
        <f t="shared" si="32"/>
        <v>5.2119008877736295E-2</v>
      </c>
      <c r="W56" s="2"/>
      <c r="X56" s="7">
        <f t="shared" si="33"/>
        <v>-1148</v>
      </c>
      <c r="Y56" s="2"/>
      <c r="Z56" s="6">
        <f t="shared" si="34"/>
        <v>-0.31627348289285545</v>
      </c>
    </row>
    <row r="57" spans="1:26" s="24" customFormat="1" hidden="1" outlineLevel="2" x14ac:dyDescent="0.25">
      <c r="A57" s="28"/>
      <c r="B57" s="11" t="str">
        <f>CONCATENATE("          ", "6007", " - ", "STUDENT HOURLY")</f>
        <v xml:space="preserve">          6007 - STUDENT HOURLY</v>
      </c>
      <c r="C57" s="11"/>
      <c r="D57" s="7">
        <v>3483.63</v>
      </c>
      <c r="E57" s="2"/>
      <c r="F57" s="6">
        <f t="shared" si="27"/>
        <v>0.15394878140398172</v>
      </c>
      <c r="G57" s="2"/>
      <c r="H57" s="7">
        <v>1005.91</v>
      </c>
      <c r="I57" s="2"/>
      <c r="J57" s="6">
        <f t="shared" si="28"/>
        <v>5.0379154586190376E-2</v>
      </c>
      <c r="K57" s="2"/>
      <c r="L57" s="7">
        <f t="shared" si="29"/>
        <v>2477.7200000000003</v>
      </c>
      <c r="M57" s="2"/>
      <c r="N57" s="6">
        <f t="shared" si="30"/>
        <v>2.4631627083933956</v>
      </c>
      <c r="O57" s="11"/>
      <c r="P57" s="7">
        <v>10702.51</v>
      </c>
      <c r="Q57" s="2"/>
      <c r="R57" s="6">
        <f t="shared" si="31"/>
        <v>0.11961511741438013</v>
      </c>
      <c r="S57" s="2"/>
      <c r="T57" s="7">
        <v>3983.77</v>
      </c>
      <c r="U57" s="2"/>
      <c r="V57" s="6">
        <f t="shared" si="32"/>
        <v>5.7202011145846575E-2</v>
      </c>
      <c r="W57" s="2"/>
      <c r="X57" s="7">
        <f t="shared" si="33"/>
        <v>6718.74</v>
      </c>
      <c r="Y57" s="2"/>
      <c r="Z57" s="6">
        <f t="shared" si="34"/>
        <v>1.6865280877159072</v>
      </c>
    </row>
    <row r="58" spans="1:26" s="24" customFormat="1" hidden="1" outlineLevel="2" x14ac:dyDescent="0.25">
      <c r="A58" s="28"/>
      <c r="B58" s="11" t="str">
        <f>CONCATENATE("          ", "6008", " - ", "STUDENT HOURLY-FICA EXEMPT")</f>
        <v xml:space="preserve">          6008 - STUDENT HOURLY-FICA EXEMPT</v>
      </c>
      <c r="C58" s="11"/>
      <c r="D58" s="7"/>
      <c r="E58" s="2"/>
      <c r="F58" s="6">
        <f t="shared" si="27"/>
        <v>0</v>
      </c>
      <c r="G58" s="2"/>
      <c r="H58" s="7">
        <v>371.15</v>
      </c>
      <c r="I58" s="2"/>
      <c r="J58" s="6">
        <f t="shared" si="28"/>
        <v>1.8588365981712634E-2</v>
      </c>
      <c r="K58" s="2"/>
      <c r="L58" s="7">
        <f t="shared" si="29"/>
        <v>-371.15</v>
      </c>
      <c r="M58" s="2"/>
      <c r="N58" s="6">
        <f t="shared" si="30"/>
        <v>-1</v>
      </c>
      <c r="O58" s="11"/>
      <c r="P58" s="7">
        <v>441.59</v>
      </c>
      <c r="Q58" s="2"/>
      <c r="R58" s="6">
        <f t="shared" si="31"/>
        <v>4.9353693385024745E-3</v>
      </c>
      <c r="S58" s="2"/>
      <c r="T58" s="7">
        <v>465.14</v>
      </c>
      <c r="U58" s="2"/>
      <c r="V58" s="6">
        <f t="shared" si="32"/>
        <v>6.6788352400813994E-3</v>
      </c>
      <c r="W58" s="2"/>
      <c r="X58" s="7">
        <f t="shared" si="33"/>
        <v>-23.550000000000011</v>
      </c>
      <c r="Y58" s="2"/>
      <c r="Z58" s="6">
        <f t="shared" si="34"/>
        <v>-5.062991787418844E-2</v>
      </c>
    </row>
    <row r="59" spans="1:26" s="27" customFormat="1" outlineLevel="1" collapsed="1" x14ac:dyDescent="0.25">
      <c r="A59" s="29"/>
      <c r="B59" s="14" t="str">
        <f>CONCATENATE("     ","Advertising/Promo                                 ")</f>
        <v xml:space="preserve">     Advertising/Promo                                 </v>
      </c>
      <c r="C59" s="14"/>
      <c r="D59" s="1">
        <f>SUM(OSRRefD22_2x_0)</f>
        <v>0</v>
      </c>
      <c r="E59" s="1"/>
      <c r="F59" s="5">
        <f t="shared" ref="F59:F75" si="35">IF(D$12=0,0,D59/D$12)</f>
        <v>0</v>
      </c>
      <c r="G59" s="1"/>
      <c r="H59" s="1">
        <f>SUM(OSRRefH22_2x_0)</f>
        <v>0</v>
      </c>
      <c r="I59" s="1"/>
      <c r="J59" s="5">
        <f t="shared" ref="J59:J75" si="36">IF(H$12=0,0,H59/H$12)</f>
        <v>0</v>
      </c>
      <c r="K59" s="1"/>
      <c r="L59" s="1">
        <f t="shared" ref="L59:L75" si="37">+D59-H59</f>
        <v>0</v>
      </c>
      <c r="M59" s="1"/>
      <c r="N59" s="5">
        <f t="shared" ref="N59:N75" si="38">IF(H59=0,0,L59/H59)</f>
        <v>0</v>
      </c>
      <c r="O59" s="14"/>
      <c r="P59" s="1">
        <f>SUM(OSRRefP22_2x_0)</f>
        <v>390</v>
      </c>
      <c r="Q59" s="1"/>
      <c r="R59" s="5">
        <f t="shared" ref="R59:R75" si="39">IF(P$12=0,0,P59/P$12)</f>
        <v>4.3587808646390665E-3</v>
      </c>
      <c r="S59" s="1"/>
      <c r="T59" s="1">
        <f>SUM(OSRRefT22_2x_0)</f>
        <v>0</v>
      </c>
      <c r="U59" s="1"/>
      <c r="V59" s="5">
        <f t="shared" ref="V59:V75" si="40">IF(T$12=0,0,T59/T$12)</f>
        <v>0</v>
      </c>
      <c r="W59" s="1"/>
      <c r="X59" s="1">
        <f t="shared" ref="X59:X75" si="41">+P59-T59</f>
        <v>390</v>
      </c>
      <c r="Y59" s="1"/>
      <c r="Z59" s="5">
        <f t="shared" ref="Z59:Z75" si="42">IF(T59=0,0,X59/T59)</f>
        <v>0</v>
      </c>
    </row>
    <row r="60" spans="1:26" s="24" customFormat="1" hidden="1" outlineLevel="2" x14ac:dyDescent="0.25">
      <c r="A60" s="28"/>
      <c r="B60" s="11" t="str">
        <f>CONCATENATE("          ", "6362", " - ", "ADVERTISING EXPENSE")</f>
        <v xml:space="preserve">          6362 - ADVERTISING EXPENSE</v>
      </c>
      <c r="C60" s="11"/>
      <c r="D60" s="7"/>
      <c r="E60" s="2"/>
      <c r="F60" s="6">
        <f t="shared" si="35"/>
        <v>0</v>
      </c>
      <c r="G60" s="2"/>
      <c r="H60" s="7"/>
      <c r="I60" s="2"/>
      <c r="J60" s="6">
        <f t="shared" si="36"/>
        <v>0</v>
      </c>
      <c r="K60" s="2"/>
      <c r="L60" s="7">
        <f t="shared" si="37"/>
        <v>0</v>
      </c>
      <c r="M60" s="2"/>
      <c r="N60" s="6">
        <f t="shared" si="38"/>
        <v>0</v>
      </c>
      <c r="O60" s="11"/>
      <c r="P60" s="7">
        <v>390</v>
      </c>
      <c r="Q60" s="2"/>
      <c r="R60" s="6">
        <f t="shared" si="39"/>
        <v>4.3587808646390665E-3</v>
      </c>
      <c r="S60" s="2"/>
      <c r="T60" s="7"/>
      <c r="U60" s="2"/>
      <c r="V60" s="6">
        <f t="shared" si="40"/>
        <v>0</v>
      </c>
      <c r="W60" s="2"/>
      <c r="X60" s="7">
        <f t="shared" si="41"/>
        <v>390</v>
      </c>
      <c r="Y60" s="2"/>
      <c r="Z60" s="6">
        <f t="shared" si="42"/>
        <v>0</v>
      </c>
    </row>
    <row r="61" spans="1:26" s="27" customFormat="1" outlineLevel="1" collapsed="1" x14ac:dyDescent="0.25">
      <c r="A61" s="29"/>
      <c r="B61" s="14" t="str">
        <f>CONCATENATE("     ","Bad Debts/Over/Short                              ")</f>
        <v xml:space="preserve">     Bad Debts/Over/Short                              </v>
      </c>
      <c r="C61" s="14"/>
      <c r="D61" s="1">
        <f>SUM(OSRRefD22_3x_0)</f>
        <v>1.03</v>
      </c>
      <c r="E61" s="1"/>
      <c r="F61" s="5">
        <f t="shared" si="35"/>
        <v>4.5517820447665554E-5</v>
      </c>
      <c r="G61" s="1"/>
      <c r="H61" s="1">
        <f>SUM(OSRRefH22_3x_0)</f>
        <v>-2.96</v>
      </c>
      <c r="I61" s="1"/>
      <c r="J61" s="5">
        <f t="shared" si="36"/>
        <v>-1.4824616275325178E-4</v>
      </c>
      <c r="K61" s="1"/>
      <c r="L61" s="1">
        <f t="shared" si="37"/>
        <v>3.99</v>
      </c>
      <c r="M61" s="1"/>
      <c r="N61" s="5">
        <f t="shared" si="38"/>
        <v>-1.347972972972973</v>
      </c>
      <c r="O61" s="14"/>
      <c r="P61" s="1">
        <f>SUM(OSRRefP22_3x_0)</f>
        <v>1.7</v>
      </c>
      <c r="Q61" s="1"/>
      <c r="R61" s="5">
        <f t="shared" si="39"/>
        <v>1.8999814025349774E-5</v>
      </c>
      <c r="S61" s="1"/>
      <c r="T61" s="1">
        <f>SUM(OSRRefT22_3x_0)</f>
        <v>0.7</v>
      </c>
      <c r="U61" s="1"/>
      <c r="V61" s="5">
        <f t="shared" si="40"/>
        <v>1.0051134428466653E-5</v>
      </c>
      <c r="W61" s="1"/>
      <c r="X61" s="1">
        <f t="shared" si="41"/>
        <v>1</v>
      </c>
      <c r="Y61" s="1"/>
      <c r="Z61" s="5">
        <f t="shared" si="42"/>
        <v>1.4285714285714286</v>
      </c>
    </row>
    <row r="62" spans="1:26" s="24" customFormat="1" hidden="1" outlineLevel="2" x14ac:dyDescent="0.25">
      <c r="A62" s="28"/>
      <c r="B62" s="11" t="str">
        <f>CONCATENATE("          ", "6272", " - ", "CASH (OVER/SHORT)")</f>
        <v xml:space="preserve">          6272 - CASH (OVER/SHORT)</v>
      </c>
      <c r="C62" s="11"/>
      <c r="D62" s="7">
        <v>1.03</v>
      </c>
      <c r="E62" s="2"/>
      <c r="F62" s="6">
        <f t="shared" si="35"/>
        <v>4.5517820447665554E-5</v>
      </c>
      <c r="G62" s="2"/>
      <c r="H62" s="7">
        <v>-2.96</v>
      </c>
      <c r="I62" s="2"/>
      <c r="J62" s="6">
        <f t="shared" si="36"/>
        <v>-1.4824616275325178E-4</v>
      </c>
      <c r="K62" s="2"/>
      <c r="L62" s="7">
        <f t="shared" si="37"/>
        <v>3.99</v>
      </c>
      <c r="M62" s="2"/>
      <c r="N62" s="6">
        <f t="shared" si="38"/>
        <v>-1.347972972972973</v>
      </c>
      <c r="O62" s="11"/>
      <c r="P62" s="7">
        <v>1.7</v>
      </c>
      <c r="Q62" s="2"/>
      <c r="R62" s="6">
        <f t="shared" si="39"/>
        <v>1.8999814025349774E-5</v>
      </c>
      <c r="S62" s="2"/>
      <c r="T62" s="7">
        <v>0.7</v>
      </c>
      <c r="U62" s="2"/>
      <c r="V62" s="6">
        <f t="shared" si="40"/>
        <v>1.0051134428466653E-5</v>
      </c>
      <c r="W62" s="2"/>
      <c r="X62" s="7">
        <f t="shared" si="41"/>
        <v>1</v>
      </c>
      <c r="Y62" s="2"/>
      <c r="Z62" s="6">
        <f t="shared" si="42"/>
        <v>1.4285714285714286</v>
      </c>
    </row>
    <row r="63" spans="1:26" s="27" customFormat="1" outlineLevel="1" collapsed="1" x14ac:dyDescent="0.25">
      <c r="A63" s="29"/>
      <c r="B63" s="14" t="str">
        <f>CONCATENATE("     ","Bank/card Fees                                    ")</f>
        <v xml:space="preserve">     Bank/card Fees                                    </v>
      </c>
      <c r="C63" s="14"/>
      <c r="D63" s="1">
        <f>SUM(OSRRefD22_4x_0)</f>
        <v>395.45</v>
      </c>
      <c r="E63" s="1"/>
      <c r="F63" s="5">
        <f t="shared" si="35"/>
        <v>1.7475749607795479E-2</v>
      </c>
      <c r="G63" s="1"/>
      <c r="H63" s="1">
        <f>SUM(OSRRefH22_4x_0)</f>
        <v>306.45</v>
      </c>
      <c r="I63" s="1"/>
      <c r="J63" s="5">
        <f t="shared" si="36"/>
        <v>1.5347985329639869E-2</v>
      </c>
      <c r="K63" s="1"/>
      <c r="L63" s="1">
        <f t="shared" si="37"/>
        <v>89</v>
      </c>
      <c r="M63" s="1"/>
      <c r="N63" s="5">
        <f t="shared" si="38"/>
        <v>0.29042258117147984</v>
      </c>
      <c r="O63" s="14"/>
      <c r="P63" s="1">
        <f>SUM(OSRRefP22_4x_0)</f>
        <v>1501.98</v>
      </c>
      <c r="Q63" s="1"/>
      <c r="R63" s="5">
        <f t="shared" si="39"/>
        <v>1.6786670982232268E-2</v>
      </c>
      <c r="S63" s="1"/>
      <c r="T63" s="1">
        <f>SUM(OSRRefT22_4x_0)</f>
        <v>1066.17</v>
      </c>
      <c r="U63" s="1"/>
      <c r="V63" s="5">
        <f t="shared" si="40"/>
        <v>1.5308882847997562E-2</v>
      </c>
      <c r="W63" s="1"/>
      <c r="X63" s="1">
        <f t="shared" si="41"/>
        <v>435.80999999999995</v>
      </c>
      <c r="Y63" s="1"/>
      <c r="Z63" s="5">
        <f t="shared" si="42"/>
        <v>0.40876220490165727</v>
      </c>
    </row>
    <row r="64" spans="1:26" s="24" customFormat="1" hidden="1" outlineLevel="2" x14ac:dyDescent="0.25">
      <c r="A64" s="28"/>
      <c r="B64" s="11" t="str">
        <f>CONCATENATE("          ", "6381", " - ", "BANK/CREDIT CARD FEES")</f>
        <v xml:space="preserve">          6381 - BANK/CREDIT CARD FEES</v>
      </c>
      <c r="C64" s="11"/>
      <c r="D64" s="7">
        <v>395.45</v>
      </c>
      <c r="E64" s="2"/>
      <c r="F64" s="6">
        <f t="shared" si="35"/>
        <v>1.7475749607795479E-2</v>
      </c>
      <c r="G64" s="2"/>
      <c r="H64" s="7">
        <v>306.45</v>
      </c>
      <c r="I64" s="2"/>
      <c r="J64" s="6">
        <f t="shared" si="36"/>
        <v>1.5347985329639869E-2</v>
      </c>
      <c r="K64" s="2"/>
      <c r="L64" s="7">
        <f t="shared" si="37"/>
        <v>89</v>
      </c>
      <c r="M64" s="2"/>
      <c r="N64" s="6">
        <f t="shared" si="38"/>
        <v>0.29042258117147984</v>
      </c>
      <c r="O64" s="11"/>
      <c r="P64" s="7">
        <v>1501.98</v>
      </c>
      <c r="Q64" s="2"/>
      <c r="R64" s="6">
        <f t="shared" si="39"/>
        <v>1.6786670982232268E-2</v>
      </c>
      <c r="S64" s="2"/>
      <c r="T64" s="7">
        <v>1066.17</v>
      </c>
      <c r="U64" s="2"/>
      <c r="V64" s="6">
        <f t="shared" si="40"/>
        <v>1.5308882847997562E-2</v>
      </c>
      <c r="W64" s="2"/>
      <c r="X64" s="7">
        <f t="shared" si="41"/>
        <v>435.80999999999995</v>
      </c>
      <c r="Y64" s="2"/>
      <c r="Z64" s="6">
        <f t="shared" si="42"/>
        <v>0.40876220490165727</v>
      </c>
    </row>
    <row r="65" spans="1:26" s="27" customFormat="1" outlineLevel="1" collapsed="1" x14ac:dyDescent="0.25">
      <c r="A65" s="29"/>
      <c r="B65" s="14" t="str">
        <f>CONCATENATE("     ","Discounts and Markdowns                           ")</f>
        <v xml:space="preserve">     Discounts and Markdowns                           </v>
      </c>
      <c r="C65" s="14"/>
      <c r="D65" s="1">
        <f>SUM(OSRRefD22_5x_0)</f>
        <v>0</v>
      </c>
      <c r="E65" s="1"/>
      <c r="F65" s="5">
        <f t="shared" si="35"/>
        <v>0</v>
      </c>
      <c r="G65" s="1"/>
      <c r="H65" s="1">
        <f>SUM(OSRRefH22_5x_0)</f>
        <v>830.95</v>
      </c>
      <c r="I65" s="1"/>
      <c r="J65" s="5">
        <f t="shared" si="36"/>
        <v>4.161660437155898E-2</v>
      </c>
      <c r="K65" s="1"/>
      <c r="L65" s="1">
        <f t="shared" si="37"/>
        <v>-830.95</v>
      </c>
      <c r="M65" s="1"/>
      <c r="N65" s="5">
        <f t="shared" si="38"/>
        <v>-1</v>
      </c>
      <c r="O65" s="14"/>
      <c r="P65" s="1">
        <f>SUM(OSRRefP22_5x_0)</f>
        <v>0</v>
      </c>
      <c r="Q65" s="1"/>
      <c r="R65" s="5">
        <f t="shared" si="39"/>
        <v>0</v>
      </c>
      <c r="S65" s="1"/>
      <c r="T65" s="1">
        <f>SUM(OSRRefT22_5x_0)</f>
        <v>830.95</v>
      </c>
      <c r="U65" s="1"/>
      <c r="V65" s="5">
        <f t="shared" si="40"/>
        <v>1.1931414504763382E-2</v>
      </c>
      <c r="W65" s="1"/>
      <c r="X65" s="1">
        <f t="shared" si="41"/>
        <v>-830.95</v>
      </c>
      <c r="Y65" s="1"/>
      <c r="Z65" s="5">
        <f t="shared" si="42"/>
        <v>-1</v>
      </c>
    </row>
    <row r="66" spans="1:26" s="24" customFormat="1" hidden="1" outlineLevel="2" x14ac:dyDescent="0.25">
      <c r="A66" s="28"/>
      <c r="B66" s="11" t="str">
        <f>CONCATENATE("          ", "6382", " - ", "DISCOUNTS/MARK DOWNS")</f>
        <v xml:space="preserve">          6382 - DISCOUNTS/MARK DOWNS</v>
      </c>
      <c r="C66" s="11"/>
      <c r="D66" s="7"/>
      <c r="E66" s="2"/>
      <c r="F66" s="6">
        <f t="shared" si="35"/>
        <v>0</v>
      </c>
      <c r="G66" s="2"/>
      <c r="H66" s="7">
        <v>830.95</v>
      </c>
      <c r="I66" s="2"/>
      <c r="J66" s="6">
        <f t="shared" si="36"/>
        <v>4.161660437155898E-2</v>
      </c>
      <c r="K66" s="2"/>
      <c r="L66" s="7">
        <f t="shared" si="37"/>
        <v>-830.95</v>
      </c>
      <c r="M66" s="2"/>
      <c r="N66" s="6">
        <f t="shared" si="38"/>
        <v>-1</v>
      </c>
      <c r="O66" s="11"/>
      <c r="P66" s="7"/>
      <c r="Q66" s="2"/>
      <c r="R66" s="6">
        <f t="shared" si="39"/>
        <v>0</v>
      </c>
      <c r="S66" s="2"/>
      <c r="T66" s="7">
        <v>830.95</v>
      </c>
      <c r="U66" s="2"/>
      <c r="V66" s="6">
        <f t="shared" si="40"/>
        <v>1.1931414504763382E-2</v>
      </c>
      <c r="W66" s="2"/>
      <c r="X66" s="7">
        <f t="shared" si="41"/>
        <v>-830.95</v>
      </c>
      <c r="Y66" s="2"/>
      <c r="Z66" s="6">
        <f t="shared" si="42"/>
        <v>-1</v>
      </c>
    </row>
    <row r="67" spans="1:26" s="27" customFormat="1" outlineLevel="1" collapsed="1" x14ac:dyDescent="0.25">
      <c r="A67" s="29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SUM(OSRRefD22_6x_0)</f>
        <v>219.08</v>
      </c>
      <c r="E67" s="1"/>
      <c r="F67" s="5">
        <f t="shared" si="35"/>
        <v>9.6815962171597769E-3</v>
      </c>
      <c r="G67" s="1"/>
      <c r="H67" s="1">
        <f>SUM(OSRRefH22_6x_0)</f>
        <v>161.18</v>
      </c>
      <c r="I67" s="1"/>
      <c r="J67" s="5">
        <f t="shared" si="36"/>
        <v>8.072404227219299E-3</v>
      </c>
      <c r="K67" s="1"/>
      <c r="L67" s="1">
        <f t="shared" si="37"/>
        <v>57.900000000000006</v>
      </c>
      <c r="M67" s="1"/>
      <c r="N67" s="5">
        <f t="shared" si="38"/>
        <v>0.35922571038590395</v>
      </c>
      <c r="O67" s="14"/>
      <c r="P67" s="1">
        <f>SUM(OSRRefP22_6x_0)</f>
        <v>657.24</v>
      </c>
      <c r="Q67" s="1"/>
      <c r="R67" s="5">
        <f t="shared" si="39"/>
        <v>7.3455516294240507E-3</v>
      </c>
      <c r="S67" s="1"/>
      <c r="T67" s="1">
        <f>SUM(OSRRefT22_6x_0)</f>
        <v>483.54</v>
      </c>
      <c r="U67" s="1"/>
      <c r="V67" s="5">
        <f t="shared" si="40"/>
        <v>6.9430364879153805E-3</v>
      </c>
      <c r="W67" s="1"/>
      <c r="X67" s="1">
        <f t="shared" si="41"/>
        <v>173.7</v>
      </c>
      <c r="Y67" s="1"/>
      <c r="Z67" s="5">
        <f t="shared" si="42"/>
        <v>0.3592257103859039</v>
      </c>
    </row>
    <row r="68" spans="1:26" s="24" customFormat="1" hidden="1" outlineLevel="2" x14ac:dyDescent="0.25">
      <c r="A68" s="28"/>
      <c r="B68" s="11" t="str">
        <f>CONCATENATE("          ", "6314", " - ", "LIABILITY INSURANCE")</f>
        <v xml:space="preserve">          6314 - LIABILITY INSURANCE</v>
      </c>
      <c r="C68" s="11"/>
      <c r="D68" s="7">
        <v>219.08</v>
      </c>
      <c r="E68" s="2"/>
      <c r="F68" s="6">
        <f t="shared" si="35"/>
        <v>9.6815962171597769E-3</v>
      </c>
      <c r="G68" s="2"/>
      <c r="H68" s="7">
        <v>161.18</v>
      </c>
      <c r="I68" s="2"/>
      <c r="J68" s="6">
        <f t="shared" si="36"/>
        <v>8.072404227219299E-3</v>
      </c>
      <c r="K68" s="2"/>
      <c r="L68" s="7">
        <f t="shared" si="37"/>
        <v>57.900000000000006</v>
      </c>
      <c r="M68" s="2"/>
      <c r="N68" s="6">
        <f t="shared" si="38"/>
        <v>0.35922571038590395</v>
      </c>
      <c r="O68" s="11"/>
      <c r="P68" s="7">
        <v>657.24</v>
      </c>
      <c r="Q68" s="2"/>
      <c r="R68" s="6">
        <f t="shared" si="39"/>
        <v>7.3455516294240507E-3</v>
      </c>
      <c r="S68" s="2"/>
      <c r="T68" s="7">
        <v>483.54</v>
      </c>
      <c r="U68" s="2"/>
      <c r="V68" s="6">
        <f t="shared" si="40"/>
        <v>6.9430364879153805E-3</v>
      </c>
      <c r="W68" s="2"/>
      <c r="X68" s="7">
        <f t="shared" si="41"/>
        <v>173.7</v>
      </c>
      <c r="Y68" s="2"/>
      <c r="Z68" s="6">
        <f t="shared" si="42"/>
        <v>0.3592257103859039</v>
      </c>
    </row>
    <row r="69" spans="1:26" s="27" customFormat="1" outlineLevel="1" collapsed="1" x14ac:dyDescent="0.25">
      <c r="A69" s="29"/>
      <c r="B69" s="14" t="str">
        <f>CONCATENATE("     ","Inventory Adjustment                              ")</f>
        <v xml:space="preserve">     Inventory Adjustment                              </v>
      </c>
      <c r="C69" s="14"/>
      <c r="D69" s="1">
        <f>SUM(OSRRefD22_7x_0)</f>
        <v>100</v>
      </c>
      <c r="E69" s="1"/>
      <c r="F69" s="5">
        <f t="shared" si="35"/>
        <v>4.4192058687053939E-3</v>
      </c>
      <c r="G69" s="1"/>
      <c r="H69" s="1">
        <f>SUM(OSRRefH22_7x_0)</f>
        <v>100</v>
      </c>
      <c r="I69" s="1"/>
      <c r="J69" s="5">
        <f t="shared" si="36"/>
        <v>5.0083163092314795E-3</v>
      </c>
      <c r="K69" s="1"/>
      <c r="L69" s="1">
        <f t="shared" si="37"/>
        <v>0</v>
      </c>
      <c r="M69" s="1"/>
      <c r="N69" s="5">
        <f t="shared" si="38"/>
        <v>0</v>
      </c>
      <c r="O69" s="14"/>
      <c r="P69" s="1">
        <f>SUM(OSRRefP22_7x_0)</f>
        <v>300</v>
      </c>
      <c r="Q69" s="1"/>
      <c r="R69" s="5">
        <f t="shared" si="39"/>
        <v>3.3529083574146664E-3</v>
      </c>
      <c r="S69" s="1"/>
      <c r="T69" s="1">
        <f>SUM(OSRRefT22_7x_0)</f>
        <v>300</v>
      </c>
      <c r="U69" s="1"/>
      <c r="V69" s="5">
        <f t="shared" si="40"/>
        <v>4.307629040771423E-3</v>
      </c>
      <c r="W69" s="1"/>
      <c r="X69" s="1">
        <f t="shared" si="41"/>
        <v>0</v>
      </c>
      <c r="Y69" s="1"/>
      <c r="Z69" s="5">
        <f t="shared" si="42"/>
        <v>0</v>
      </c>
    </row>
    <row r="70" spans="1:26" s="24" customFormat="1" hidden="1" outlineLevel="2" x14ac:dyDescent="0.25">
      <c r="A70" s="28"/>
      <c r="B70" s="11" t="str">
        <f>CONCATENATE("          ", "6408", " - ", "INVENTORY ADJUSTMENT")</f>
        <v xml:space="preserve">          6408 - INVENTORY ADJUSTMENT</v>
      </c>
      <c r="C70" s="11"/>
      <c r="D70" s="7">
        <v>100</v>
      </c>
      <c r="E70" s="2"/>
      <c r="F70" s="6">
        <f t="shared" si="35"/>
        <v>4.4192058687053939E-3</v>
      </c>
      <c r="G70" s="2"/>
      <c r="H70" s="7">
        <v>100</v>
      </c>
      <c r="I70" s="2"/>
      <c r="J70" s="6">
        <f t="shared" si="36"/>
        <v>5.0083163092314795E-3</v>
      </c>
      <c r="K70" s="2"/>
      <c r="L70" s="7">
        <f t="shared" si="37"/>
        <v>0</v>
      </c>
      <c r="M70" s="2"/>
      <c r="N70" s="6">
        <f t="shared" si="38"/>
        <v>0</v>
      </c>
      <c r="O70" s="11"/>
      <c r="P70" s="7">
        <v>300</v>
      </c>
      <c r="Q70" s="2"/>
      <c r="R70" s="6">
        <f t="shared" si="39"/>
        <v>3.3529083574146664E-3</v>
      </c>
      <c r="S70" s="2"/>
      <c r="T70" s="7">
        <v>300</v>
      </c>
      <c r="U70" s="2"/>
      <c r="V70" s="6">
        <f t="shared" si="40"/>
        <v>4.307629040771423E-3</v>
      </c>
      <c r="W70" s="2"/>
      <c r="X70" s="7">
        <f t="shared" si="41"/>
        <v>0</v>
      </c>
      <c r="Y70" s="2"/>
      <c r="Z70" s="6">
        <f t="shared" si="42"/>
        <v>0</v>
      </c>
    </row>
    <row r="71" spans="1:26" s="27" customFormat="1" outlineLevel="1" collapsed="1" x14ac:dyDescent="0.25">
      <c r="A71" s="29"/>
      <c r="B71" s="14" t="str">
        <f>CONCATENATE("     ","Rent                                              ")</f>
        <v xml:space="preserve">     Rent                                              </v>
      </c>
      <c r="C71" s="14"/>
      <c r="D71" s="1">
        <f>SUM(OSRRefD22_8x_0)</f>
        <v>6900</v>
      </c>
      <c r="E71" s="1"/>
      <c r="F71" s="5">
        <f t="shared" si="35"/>
        <v>0.30492520494067216</v>
      </c>
      <c r="G71" s="1"/>
      <c r="H71" s="1">
        <f>SUM(OSRRefH22_8x_0)</f>
        <v>6900</v>
      </c>
      <c r="I71" s="1"/>
      <c r="J71" s="5">
        <f t="shared" si="36"/>
        <v>0.34557382533697206</v>
      </c>
      <c r="K71" s="1"/>
      <c r="L71" s="1">
        <f t="shared" si="37"/>
        <v>0</v>
      </c>
      <c r="M71" s="1"/>
      <c r="N71" s="5">
        <f t="shared" si="38"/>
        <v>0</v>
      </c>
      <c r="O71" s="14"/>
      <c r="P71" s="1">
        <f>SUM(OSRRefP22_8x_0)</f>
        <v>20700</v>
      </c>
      <c r="Q71" s="1"/>
      <c r="R71" s="5">
        <f t="shared" si="39"/>
        <v>0.23135067666161196</v>
      </c>
      <c r="S71" s="1"/>
      <c r="T71" s="1">
        <f>SUM(OSRRefT22_8x_0)</f>
        <v>20700</v>
      </c>
      <c r="U71" s="1"/>
      <c r="V71" s="5">
        <f t="shared" si="40"/>
        <v>0.29722640381322818</v>
      </c>
      <c r="W71" s="1"/>
      <c r="X71" s="1">
        <f t="shared" si="41"/>
        <v>0</v>
      </c>
      <c r="Y71" s="1"/>
      <c r="Z71" s="5">
        <f t="shared" si="42"/>
        <v>0</v>
      </c>
    </row>
    <row r="72" spans="1:26" s="24" customFormat="1" hidden="1" outlineLevel="2" x14ac:dyDescent="0.25">
      <c r="A72" s="28"/>
      <c r="B72" s="11" t="str">
        <f>CONCATENATE("          ", "6273", " - ", "RENT")</f>
        <v xml:space="preserve">          6273 - RENT</v>
      </c>
      <c r="C72" s="11"/>
      <c r="D72" s="7">
        <v>6900</v>
      </c>
      <c r="E72" s="2"/>
      <c r="F72" s="6">
        <f t="shared" si="35"/>
        <v>0.30492520494067216</v>
      </c>
      <c r="G72" s="2"/>
      <c r="H72" s="7">
        <v>6900</v>
      </c>
      <c r="I72" s="2"/>
      <c r="J72" s="6">
        <f t="shared" si="36"/>
        <v>0.34557382533697206</v>
      </c>
      <c r="K72" s="2"/>
      <c r="L72" s="7">
        <f t="shared" si="37"/>
        <v>0</v>
      </c>
      <c r="M72" s="2"/>
      <c r="N72" s="6">
        <f t="shared" si="38"/>
        <v>0</v>
      </c>
      <c r="O72" s="11"/>
      <c r="P72" s="7">
        <v>20700</v>
      </c>
      <c r="Q72" s="2"/>
      <c r="R72" s="6">
        <f t="shared" si="39"/>
        <v>0.23135067666161196</v>
      </c>
      <c r="S72" s="2"/>
      <c r="T72" s="7">
        <v>20700</v>
      </c>
      <c r="U72" s="2"/>
      <c r="V72" s="6">
        <f t="shared" si="40"/>
        <v>0.29722640381322818</v>
      </c>
      <c r="W72" s="2"/>
      <c r="X72" s="7">
        <f t="shared" si="41"/>
        <v>0</v>
      </c>
      <c r="Y72" s="2"/>
      <c r="Z72" s="6">
        <f t="shared" si="42"/>
        <v>0</v>
      </c>
    </row>
    <row r="73" spans="1:26" s="27" customFormat="1" outlineLevel="1" collapsed="1" x14ac:dyDescent="0.25">
      <c r="A73" s="29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SUM(OSRRefD22_9x_0)</f>
        <v>230.9</v>
      </c>
      <c r="E73" s="1"/>
      <c r="F73" s="5">
        <f t="shared" si="35"/>
        <v>1.0203946350840754E-2</v>
      </c>
      <c r="G73" s="1"/>
      <c r="H73" s="1">
        <f>SUM(OSRRefH22_9x_0)</f>
        <v>48.21</v>
      </c>
      <c r="I73" s="1"/>
      <c r="J73" s="5">
        <f t="shared" si="36"/>
        <v>2.4145092926804962E-3</v>
      </c>
      <c r="K73" s="1"/>
      <c r="L73" s="1">
        <f t="shared" si="37"/>
        <v>182.69</v>
      </c>
      <c r="M73" s="1"/>
      <c r="N73" s="5">
        <f t="shared" si="38"/>
        <v>3.7894627670607757</v>
      </c>
      <c r="O73" s="14"/>
      <c r="P73" s="1">
        <f>SUM(OSRRefP22_9x_0)</f>
        <v>1003.72</v>
      </c>
      <c r="Q73" s="1"/>
      <c r="R73" s="5">
        <f t="shared" si="39"/>
        <v>1.1217937255014163E-2</v>
      </c>
      <c r="S73" s="1"/>
      <c r="T73" s="1">
        <f>SUM(OSRRefT22_9x_0)</f>
        <v>48.21</v>
      </c>
      <c r="U73" s="1"/>
      <c r="V73" s="5">
        <f t="shared" si="40"/>
        <v>6.9223598685196769E-4</v>
      </c>
      <c r="W73" s="1"/>
      <c r="X73" s="1">
        <f t="shared" si="41"/>
        <v>955.51</v>
      </c>
      <c r="Y73" s="1"/>
      <c r="Z73" s="5">
        <f t="shared" si="42"/>
        <v>19.819746940468782</v>
      </c>
    </row>
    <row r="74" spans="1:26" s="24" customFormat="1" hidden="1" outlineLevel="2" x14ac:dyDescent="0.25">
      <c r="A74" s="28"/>
      <c r="B74" s="11" t="str">
        <f>CONCATENATE("          ", "6373", " - ", "MAINTENANCE CONTRACTS")</f>
        <v xml:space="preserve">          6373 - MAINTENANCE CONTRACTS</v>
      </c>
      <c r="C74" s="11"/>
      <c r="D74" s="7">
        <v>230.9</v>
      </c>
      <c r="E74" s="2"/>
      <c r="F74" s="6">
        <f t="shared" si="35"/>
        <v>1.0203946350840754E-2</v>
      </c>
      <c r="G74" s="2"/>
      <c r="H74" s="7">
        <v>48.21</v>
      </c>
      <c r="I74" s="2"/>
      <c r="J74" s="6">
        <f t="shared" si="36"/>
        <v>2.4145092926804962E-3</v>
      </c>
      <c r="K74" s="2"/>
      <c r="L74" s="7">
        <f t="shared" si="37"/>
        <v>182.69</v>
      </c>
      <c r="M74" s="2"/>
      <c r="N74" s="6">
        <f t="shared" si="38"/>
        <v>3.7894627670607757</v>
      </c>
      <c r="O74" s="11"/>
      <c r="P74" s="7">
        <v>230.9</v>
      </c>
      <c r="Q74" s="2"/>
      <c r="R74" s="6">
        <f t="shared" si="39"/>
        <v>2.5806217990901551E-3</v>
      </c>
      <c r="S74" s="2"/>
      <c r="T74" s="7">
        <v>48.21</v>
      </c>
      <c r="U74" s="2"/>
      <c r="V74" s="6">
        <f t="shared" si="40"/>
        <v>6.9223598685196769E-4</v>
      </c>
      <c r="W74" s="2"/>
      <c r="X74" s="7">
        <f t="shared" si="41"/>
        <v>182.69</v>
      </c>
      <c r="Y74" s="2"/>
      <c r="Z74" s="6">
        <f t="shared" si="42"/>
        <v>3.7894627670607757</v>
      </c>
    </row>
    <row r="75" spans="1:26" s="24" customFormat="1" hidden="1" outlineLevel="2" x14ac:dyDescent="0.25">
      <c r="A75" s="28"/>
      <c r="B75" s="11" t="str">
        <f>CONCATENATE("          ", "6375", " - ", "OUTSIDE REPAIRS &amp; MAINTENANCE")</f>
        <v xml:space="preserve">          6375 - OUTSIDE REPAIRS &amp; MAINTENANCE</v>
      </c>
      <c r="C75" s="11"/>
      <c r="D75" s="7"/>
      <c r="E75" s="2"/>
      <c r="F75" s="6">
        <f t="shared" si="35"/>
        <v>0</v>
      </c>
      <c r="G75" s="2"/>
      <c r="H75" s="7"/>
      <c r="I75" s="2"/>
      <c r="J75" s="6">
        <f t="shared" si="36"/>
        <v>0</v>
      </c>
      <c r="K75" s="2"/>
      <c r="L75" s="7">
        <f t="shared" si="37"/>
        <v>0</v>
      </c>
      <c r="M75" s="2"/>
      <c r="N75" s="6">
        <f t="shared" si="38"/>
        <v>0</v>
      </c>
      <c r="O75" s="11"/>
      <c r="P75" s="7">
        <v>772.82</v>
      </c>
      <c r="Q75" s="2"/>
      <c r="R75" s="6">
        <f t="shared" si="39"/>
        <v>8.6373154559240082E-3</v>
      </c>
      <c r="S75" s="2"/>
      <c r="T75" s="7"/>
      <c r="U75" s="2"/>
      <c r="V75" s="6">
        <f t="shared" si="40"/>
        <v>0</v>
      </c>
      <c r="W75" s="2"/>
      <c r="X75" s="7">
        <f t="shared" si="41"/>
        <v>772.82</v>
      </c>
      <c r="Y75" s="2"/>
      <c r="Z75" s="6">
        <f t="shared" si="42"/>
        <v>0</v>
      </c>
    </row>
    <row r="76" spans="1:26" s="27" customFormat="1" outlineLevel="1" collapsed="1" x14ac:dyDescent="0.25">
      <c r="A76" s="29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SUM(OSRRefD22_10x_0)</f>
        <v>162.72</v>
      </c>
      <c r="E76" s="1"/>
      <c r="F76" s="5">
        <f t="shared" ref="F76:F78" si="43">IF(D$12=0,0,D76/D$12)</f>
        <v>7.1909317895574162E-3</v>
      </c>
      <c r="G76" s="1"/>
      <c r="H76" s="1">
        <f>SUM(OSRRefH22_10x_0)</f>
        <v>142.57</v>
      </c>
      <c r="I76" s="1"/>
      <c r="J76" s="5">
        <f t="shared" ref="J76:J78" si="44">IF(H$12=0,0,H76/H$12)</f>
        <v>7.1403565620713197E-3</v>
      </c>
      <c r="K76" s="1"/>
      <c r="L76" s="1">
        <f t="shared" ref="L76:L78" si="45">+D76-H76</f>
        <v>20.150000000000006</v>
      </c>
      <c r="M76" s="1"/>
      <c r="N76" s="5">
        <f t="shared" ref="N76:N78" si="46">IF(H76=0,0,L76/H76)</f>
        <v>0.14133408150382273</v>
      </c>
      <c r="O76" s="14"/>
      <c r="P76" s="1">
        <f>SUM(OSRRefP22_10x_0)</f>
        <v>481.03000000000003</v>
      </c>
      <c r="Q76" s="1"/>
      <c r="R76" s="5">
        <f t="shared" ref="R76:R78" si="47">IF(P$12=0,0,P76/P$12)</f>
        <v>5.3761650238905905E-3</v>
      </c>
      <c r="S76" s="1"/>
      <c r="T76" s="1">
        <f>SUM(OSRRefT22_10x_0)</f>
        <v>-109.03000000000003</v>
      </c>
      <c r="U76" s="1"/>
      <c r="V76" s="5">
        <f t="shared" ref="V76:V78" si="48">IF(T$12=0,0,T76/T$12)</f>
        <v>-1.565535981051028E-3</v>
      </c>
      <c r="W76" s="1"/>
      <c r="X76" s="1">
        <f t="shared" ref="X76:X78" si="49">+P76-T76</f>
        <v>590.06000000000006</v>
      </c>
      <c r="Y76" s="1"/>
      <c r="Z76" s="5">
        <f t="shared" ref="Z76:Z78" si="50">IF(T76=0,0,X76/T76)</f>
        <v>-5.4119049802806556</v>
      </c>
    </row>
    <row r="77" spans="1:26" s="24" customFormat="1" hidden="1" outlineLevel="2" x14ac:dyDescent="0.25">
      <c r="A77" s="28"/>
      <c r="B77" s="11" t="str">
        <f>CONCATENATE("          ", "6284", " - ", "TRASH REMOVAL EXPENSE")</f>
        <v xml:space="preserve">          6284 - TRASH REMOVAL EXPENSE</v>
      </c>
      <c r="C77" s="11"/>
      <c r="D77" s="7">
        <v>149.69999999999999</v>
      </c>
      <c r="E77" s="2"/>
      <c r="F77" s="6">
        <f t="shared" si="43"/>
        <v>6.615551185451974E-3</v>
      </c>
      <c r="G77" s="2"/>
      <c r="H77" s="7">
        <v>142.57</v>
      </c>
      <c r="I77" s="2"/>
      <c r="J77" s="6">
        <f t="shared" si="44"/>
        <v>7.1403565620713197E-3</v>
      </c>
      <c r="K77" s="2"/>
      <c r="L77" s="7">
        <f t="shared" si="45"/>
        <v>7.1299999999999955</v>
      </c>
      <c r="M77" s="2"/>
      <c r="N77" s="6">
        <f t="shared" si="46"/>
        <v>5.0010521147506461E-2</v>
      </c>
      <c r="O77" s="11"/>
      <c r="P77" s="7">
        <v>441.97</v>
      </c>
      <c r="Q77" s="2"/>
      <c r="R77" s="6">
        <f t="shared" si="47"/>
        <v>4.9396163557552004E-3</v>
      </c>
      <c r="S77" s="2"/>
      <c r="T77" s="7">
        <v>427.71</v>
      </c>
      <c r="U77" s="2"/>
      <c r="V77" s="6">
        <f t="shared" si="48"/>
        <v>6.1413867234278181E-3</v>
      </c>
      <c r="W77" s="2"/>
      <c r="X77" s="7">
        <f t="shared" si="49"/>
        <v>14.260000000000048</v>
      </c>
      <c r="Y77" s="2"/>
      <c r="Z77" s="6">
        <f t="shared" si="50"/>
        <v>3.3340347431671108E-2</v>
      </c>
    </row>
    <row r="78" spans="1:26" s="24" customFormat="1" hidden="1" outlineLevel="2" x14ac:dyDescent="0.25">
      <c r="A78" s="28"/>
      <c r="B78" s="11" t="str">
        <f>CONCATENATE("          ", "6285", " - ", "JANITORIAL SERVICES")</f>
        <v xml:space="preserve">          6285 - JANITORIAL SERVICES</v>
      </c>
      <c r="C78" s="11"/>
      <c r="D78" s="7">
        <v>13.02</v>
      </c>
      <c r="E78" s="2"/>
      <c r="F78" s="6">
        <f t="shared" si="43"/>
        <v>5.7538060410544222E-4</v>
      </c>
      <c r="G78" s="2"/>
      <c r="H78" s="7"/>
      <c r="I78" s="2"/>
      <c r="J78" s="6">
        <f t="shared" si="44"/>
        <v>0</v>
      </c>
      <c r="K78" s="2"/>
      <c r="L78" s="7">
        <f t="shared" si="45"/>
        <v>13.02</v>
      </c>
      <c r="M78" s="2"/>
      <c r="N78" s="6">
        <f t="shared" si="46"/>
        <v>0</v>
      </c>
      <c r="O78" s="11"/>
      <c r="P78" s="7">
        <v>39.06</v>
      </c>
      <c r="Q78" s="2"/>
      <c r="R78" s="6">
        <f t="shared" si="47"/>
        <v>4.3654866813538961E-4</v>
      </c>
      <c r="S78" s="2"/>
      <c r="T78" s="7">
        <v>-536.74</v>
      </c>
      <c r="U78" s="2"/>
      <c r="V78" s="6">
        <f t="shared" si="48"/>
        <v>-7.7069227044788456E-3</v>
      </c>
      <c r="W78" s="2"/>
      <c r="X78" s="7">
        <f t="shared" si="49"/>
        <v>575.79999999999995</v>
      </c>
      <c r="Y78" s="2"/>
      <c r="Z78" s="6">
        <f t="shared" si="50"/>
        <v>-1.0727726646048366</v>
      </c>
    </row>
    <row r="79" spans="1:26" s="27" customFormat="1" outlineLevel="1" collapsed="1" x14ac:dyDescent="0.25">
      <c r="A79" s="29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1">
        <f>SUM(OSRRefD22_11x_0)</f>
        <v>0</v>
      </c>
      <c r="E79" s="1"/>
      <c r="F79" s="5">
        <f t="shared" ref="F79:F85" si="51">IF(D$12=0,0,D79/D$12)</f>
        <v>0</v>
      </c>
      <c r="G79" s="1"/>
      <c r="H79" s="1">
        <f>SUM(OSRRefH22_11x_0)</f>
        <v>0</v>
      </c>
      <c r="I79" s="1"/>
      <c r="J79" s="5">
        <f t="shared" ref="J79:J85" si="52">IF(H$12=0,0,H79/H$12)</f>
        <v>0</v>
      </c>
      <c r="K79" s="1"/>
      <c r="L79" s="1">
        <f t="shared" ref="L79:L85" si="53">+D79-H79</f>
        <v>0</v>
      </c>
      <c r="M79" s="1"/>
      <c r="N79" s="5">
        <f t="shared" ref="N79:N85" si="54">IF(H79=0,0,L79/H79)</f>
        <v>0</v>
      </c>
      <c r="O79" s="14"/>
      <c r="P79" s="1">
        <f>SUM(OSRRefP22_11x_0)</f>
        <v>0</v>
      </c>
      <c r="Q79" s="1"/>
      <c r="R79" s="5">
        <f t="shared" ref="R79:R85" si="55">IF(P$12=0,0,P79/P$12)</f>
        <v>0</v>
      </c>
      <c r="S79" s="1"/>
      <c r="T79" s="1">
        <f>SUM(OSRRefT22_11x_0)</f>
        <v>75</v>
      </c>
      <c r="U79" s="1"/>
      <c r="V79" s="5">
        <f t="shared" ref="V79:V85" si="56">IF(T$12=0,0,T79/T$12)</f>
        <v>1.0769072601928558E-3</v>
      </c>
      <c r="W79" s="1"/>
      <c r="X79" s="1">
        <f t="shared" ref="X79:X85" si="57">+P79-T79</f>
        <v>-75</v>
      </c>
      <c r="Y79" s="1"/>
      <c r="Z79" s="5">
        <f t="shared" ref="Z79:Z85" si="58">IF(T79=0,0,X79/T79)</f>
        <v>-1</v>
      </c>
    </row>
    <row r="80" spans="1:26" s="24" customFormat="1" hidden="1" outlineLevel="2" x14ac:dyDescent="0.25">
      <c r="A80" s="28"/>
      <c r="B80" s="11" t="str">
        <f>CONCATENATE("          ", "6275", " - ", "SUBSCRIPTIONS")</f>
        <v xml:space="preserve">          6275 - SUBSCRIPTIONS</v>
      </c>
      <c r="C80" s="11"/>
      <c r="D80" s="7"/>
      <c r="E80" s="2"/>
      <c r="F80" s="6">
        <f t="shared" si="51"/>
        <v>0</v>
      </c>
      <c r="G80" s="2"/>
      <c r="H80" s="7"/>
      <c r="I80" s="2"/>
      <c r="J80" s="6">
        <f t="shared" si="52"/>
        <v>0</v>
      </c>
      <c r="K80" s="2"/>
      <c r="L80" s="7">
        <f t="shared" si="53"/>
        <v>0</v>
      </c>
      <c r="M80" s="2"/>
      <c r="N80" s="6">
        <f t="shared" si="54"/>
        <v>0</v>
      </c>
      <c r="O80" s="11"/>
      <c r="P80" s="7"/>
      <c r="Q80" s="2"/>
      <c r="R80" s="6">
        <f t="shared" si="55"/>
        <v>0</v>
      </c>
      <c r="S80" s="2"/>
      <c r="T80" s="7">
        <v>75</v>
      </c>
      <c r="U80" s="2"/>
      <c r="V80" s="6">
        <f t="shared" si="56"/>
        <v>1.0769072601928558E-3</v>
      </c>
      <c r="W80" s="2"/>
      <c r="X80" s="7">
        <f t="shared" si="57"/>
        <v>-75</v>
      </c>
      <c r="Y80" s="2"/>
      <c r="Z80" s="6">
        <f t="shared" si="58"/>
        <v>-1</v>
      </c>
    </row>
    <row r="81" spans="1:26" s="27" customFormat="1" outlineLevel="1" collapsed="1" x14ac:dyDescent="0.25">
      <c r="A81" s="29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SUM(OSRRefD22_12x_0)</f>
        <v>51.18</v>
      </c>
      <c r="E81" s="1"/>
      <c r="F81" s="5">
        <f t="shared" si="51"/>
        <v>2.2617495636034204E-3</v>
      </c>
      <c r="G81" s="1"/>
      <c r="H81" s="1">
        <f>SUM(OSRRefH22_12x_0)</f>
        <v>265.7</v>
      </c>
      <c r="I81" s="1"/>
      <c r="J81" s="5">
        <f t="shared" si="52"/>
        <v>1.3307096433628041E-2</v>
      </c>
      <c r="K81" s="1"/>
      <c r="L81" s="1">
        <f t="shared" si="53"/>
        <v>-214.51999999999998</v>
      </c>
      <c r="M81" s="1"/>
      <c r="N81" s="5">
        <f t="shared" si="54"/>
        <v>-0.807376740684983</v>
      </c>
      <c r="O81" s="14"/>
      <c r="P81" s="1">
        <f>SUM(OSRRefP22_12x_0)</f>
        <v>588.73</v>
      </c>
      <c r="Q81" s="1"/>
      <c r="R81" s="5">
        <f t="shared" si="55"/>
        <v>6.5798591242024551E-3</v>
      </c>
      <c r="S81" s="1"/>
      <c r="T81" s="1">
        <f>SUM(OSRRefT22_12x_0)</f>
        <v>409.96999999999997</v>
      </c>
      <c r="U81" s="1"/>
      <c r="V81" s="5">
        <f t="shared" si="56"/>
        <v>5.8866622594835345E-3</v>
      </c>
      <c r="W81" s="1"/>
      <c r="X81" s="1">
        <f t="shared" si="57"/>
        <v>178.76000000000005</v>
      </c>
      <c r="Y81" s="1"/>
      <c r="Z81" s="5">
        <f t="shared" si="58"/>
        <v>0.43603190477352016</v>
      </c>
    </row>
    <row r="82" spans="1:26" s="24" customFormat="1" hidden="1" outlineLevel="2" x14ac:dyDescent="0.25">
      <c r="A82" s="28"/>
      <c r="B82" s="11" t="str">
        <f>CONCATENATE("          ", "6235", " - ", "COVID-19 EXPENSES")</f>
        <v xml:space="preserve">          6235 - COVID-19 EXPENSES</v>
      </c>
      <c r="C82" s="11"/>
      <c r="D82" s="7"/>
      <c r="E82" s="2"/>
      <c r="F82" s="6">
        <f t="shared" si="51"/>
        <v>0</v>
      </c>
      <c r="G82" s="2"/>
      <c r="H82" s="7">
        <v>265.7</v>
      </c>
      <c r="I82" s="2"/>
      <c r="J82" s="6">
        <f t="shared" si="52"/>
        <v>1.3307096433628041E-2</v>
      </c>
      <c r="K82" s="2"/>
      <c r="L82" s="7">
        <f t="shared" si="53"/>
        <v>-265.7</v>
      </c>
      <c r="M82" s="2"/>
      <c r="N82" s="6">
        <f t="shared" si="54"/>
        <v>-1</v>
      </c>
      <c r="O82" s="11"/>
      <c r="P82" s="7"/>
      <c r="Q82" s="2"/>
      <c r="R82" s="6">
        <f t="shared" si="55"/>
        <v>0</v>
      </c>
      <c r="S82" s="2"/>
      <c r="T82" s="7">
        <v>265.7</v>
      </c>
      <c r="U82" s="2"/>
      <c r="V82" s="6">
        <f t="shared" si="56"/>
        <v>3.8151234537765568E-3</v>
      </c>
      <c r="W82" s="2"/>
      <c r="X82" s="7">
        <f t="shared" si="57"/>
        <v>-265.7</v>
      </c>
      <c r="Y82" s="2"/>
      <c r="Z82" s="6">
        <f t="shared" si="58"/>
        <v>-1</v>
      </c>
    </row>
    <row r="83" spans="1:26" s="24" customFormat="1" hidden="1" outlineLevel="2" x14ac:dyDescent="0.25">
      <c r="A83" s="28"/>
      <c r="B83" s="11" t="str">
        <f>CONCATENATE("          ", "6237", " - ", "JANITORIAL SUPPLIES")</f>
        <v xml:space="preserve">          6237 - JANITORIAL SUPPLIES</v>
      </c>
      <c r="C83" s="11"/>
      <c r="D83" s="7"/>
      <c r="E83" s="2"/>
      <c r="F83" s="6">
        <f t="shared" si="51"/>
        <v>0</v>
      </c>
      <c r="G83" s="2"/>
      <c r="H83" s="7"/>
      <c r="I83" s="2"/>
      <c r="J83" s="6">
        <f t="shared" si="52"/>
        <v>0</v>
      </c>
      <c r="K83" s="2"/>
      <c r="L83" s="7">
        <f t="shared" si="53"/>
        <v>0</v>
      </c>
      <c r="M83" s="2"/>
      <c r="N83" s="6">
        <f t="shared" si="54"/>
        <v>0</v>
      </c>
      <c r="O83" s="11"/>
      <c r="P83" s="7">
        <v>77.17</v>
      </c>
      <c r="Q83" s="2"/>
      <c r="R83" s="6">
        <f t="shared" si="55"/>
        <v>8.6247979313896605E-4</v>
      </c>
      <c r="S83" s="2"/>
      <c r="T83" s="7">
        <v>139.31</v>
      </c>
      <c r="U83" s="2"/>
      <c r="V83" s="6">
        <f t="shared" si="56"/>
        <v>2.0003193388995564E-3</v>
      </c>
      <c r="W83" s="2"/>
      <c r="X83" s="7">
        <f t="shared" si="57"/>
        <v>-62.14</v>
      </c>
      <c r="Y83" s="2"/>
      <c r="Z83" s="6">
        <f t="shared" si="58"/>
        <v>-0.44605555954346421</v>
      </c>
    </row>
    <row r="84" spans="1:26" s="24" customFormat="1" hidden="1" outlineLevel="2" x14ac:dyDescent="0.25">
      <c r="A84" s="28"/>
      <c r="B84" s="11" t="str">
        <f>CONCATENATE("          ", "6241", " - ", "OFFICE EXPENSE")</f>
        <v xml:space="preserve">          6241 - OFFICE EXPENSE</v>
      </c>
      <c r="C84" s="11"/>
      <c r="D84" s="7">
        <v>51.18</v>
      </c>
      <c r="E84" s="2"/>
      <c r="F84" s="6">
        <f t="shared" si="51"/>
        <v>2.2617495636034204E-3</v>
      </c>
      <c r="G84" s="2"/>
      <c r="H84" s="7"/>
      <c r="I84" s="2"/>
      <c r="J84" s="6">
        <f t="shared" si="52"/>
        <v>0</v>
      </c>
      <c r="K84" s="2"/>
      <c r="L84" s="7">
        <f t="shared" si="53"/>
        <v>51.18</v>
      </c>
      <c r="M84" s="2"/>
      <c r="N84" s="6">
        <f t="shared" si="54"/>
        <v>0</v>
      </c>
      <c r="O84" s="11"/>
      <c r="P84" s="7">
        <v>96.24</v>
      </c>
      <c r="Q84" s="2"/>
      <c r="R84" s="6">
        <f t="shared" si="55"/>
        <v>1.075613001058625E-3</v>
      </c>
      <c r="S84" s="2"/>
      <c r="T84" s="7">
        <v>4.96</v>
      </c>
      <c r="U84" s="2"/>
      <c r="V84" s="6">
        <f t="shared" si="56"/>
        <v>7.1219466807420867E-5</v>
      </c>
      <c r="W84" s="2"/>
      <c r="X84" s="7">
        <f t="shared" si="57"/>
        <v>91.28</v>
      </c>
      <c r="Y84" s="2"/>
      <c r="Z84" s="6">
        <f t="shared" si="58"/>
        <v>18.403225806451612</v>
      </c>
    </row>
    <row r="85" spans="1:26" s="24" customFormat="1" hidden="1" outlineLevel="2" x14ac:dyDescent="0.25">
      <c r="A85" s="28"/>
      <c r="B85" s="11" t="str">
        <f>CONCATENATE("          ", "6247", " - ", "STORE SUPPLIES")</f>
        <v xml:space="preserve">          6247 - STORE SUPPLIES</v>
      </c>
      <c r="C85" s="11"/>
      <c r="D85" s="7"/>
      <c r="E85" s="2"/>
      <c r="F85" s="6">
        <f t="shared" si="51"/>
        <v>0</v>
      </c>
      <c r="G85" s="2"/>
      <c r="H85" s="7"/>
      <c r="I85" s="2"/>
      <c r="J85" s="6">
        <f t="shared" si="52"/>
        <v>0</v>
      </c>
      <c r="K85" s="2"/>
      <c r="L85" s="7">
        <f t="shared" si="53"/>
        <v>0</v>
      </c>
      <c r="M85" s="2"/>
      <c r="N85" s="6">
        <f t="shared" si="54"/>
        <v>0</v>
      </c>
      <c r="O85" s="11"/>
      <c r="P85" s="7">
        <v>415.32</v>
      </c>
      <c r="Q85" s="2"/>
      <c r="R85" s="6">
        <f t="shared" si="55"/>
        <v>4.641766330004864E-3</v>
      </c>
      <c r="S85" s="2"/>
      <c r="T85" s="7"/>
      <c r="U85" s="2"/>
      <c r="V85" s="6">
        <f t="shared" si="56"/>
        <v>0</v>
      </c>
      <c r="W85" s="2"/>
      <c r="X85" s="7">
        <f t="shared" si="57"/>
        <v>415.32</v>
      </c>
      <c r="Y85" s="2"/>
      <c r="Z85" s="6">
        <f t="shared" si="58"/>
        <v>0</v>
      </c>
    </row>
    <row r="86" spans="1:26" s="27" customFormat="1" outlineLevel="1" collapsed="1" x14ac:dyDescent="0.25">
      <c r="A86" s="29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SUM(OSRRefD22_13x_0)</f>
        <v>47.84</v>
      </c>
      <c r="E86" s="1"/>
      <c r="F86" s="5">
        <f t="shared" ref="F86:F91" si="59">IF(D$12=0,0,D86/D$12)</f>
        <v>2.1141480875886604E-3</v>
      </c>
      <c r="G86" s="1"/>
      <c r="H86" s="1">
        <f>SUM(OSRRefH22_13x_0)</f>
        <v>511.48</v>
      </c>
      <c r="I86" s="1"/>
      <c r="J86" s="5">
        <f t="shared" ref="J86:J91" si="60">IF(H$12=0,0,H86/H$12)</f>
        <v>2.5616536258457171E-2</v>
      </c>
      <c r="K86" s="1"/>
      <c r="L86" s="1">
        <f t="shared" ref="L86:L91" si="61">+D86-H86</f>
        <v>-463.64</v>
      </c>
      <c r="M86" s="1"/>
      <c r="N86" s="5">
        <f t="shared" ref="N86:N91" si="62">IF(H86=0,0,L86/H86)</f>
        <v>-0.90646750606084303</v>
      </c>
      <c r="O86" s="14"/>
      <c r="P86" s="1">
        <f>SUM(OSRRefP22_13x_0)</f>
        <v>738.52</v>
      </c>
      <c r="Q86" s="1"/>
      <c r="R86" s="5">
        <f t="shared" ref="R86:R91" si="63">IF(P$12=0,0,P86/P$12)</f>
        <v>8.2539662670595981E-3</v>
      </c>
      <c r="S86" s="1"/>
      <c r="T86" s="1">
        <f>SUM(OSRRefT22_13x_0)</f>
        <v>1071.28</v>
      </c>
      <c r="U86" s="1"/>
      <c r="V86" s="5">
        <f t="shared" ref="V86:V91" si="64">IF(T$12=0,0,T86/T$12)</f>
        <v>1.5382256129325367E-2</v>
      </c>
      <c r="W86" s="1"/>
      <c r="X86" s="1">
        <f t="shared" ref="X86:X91" si="65">+P86-T86</f>
        <v>-332.76</v>
      </c>
      <c r="Y86" s="1"/>
      <c r="Z86" s="5">
        <f t="shared" ref="Z86:Z91" si="66">IF(T86=0,0,X86/T86)</f>
        <v>-0.31061907251138826</v>
      </c>
    </row>
    <row r="87" spans="1:26" s="24" customFormat="1" hidden="1" outlineLevel="2" x14ac:dyDescent="0.25">
      <c r="A87" s="28"/>
      <c r="B87" s="11" t="str">
        <f>CONCATENATE("          ", "6309", " - ", "TELEPHONE")</f>
        <v xml:space="preserve">          6309 - TELEPHONE</v>
      </c>
      <c r="C87" s="11"/>
      <c r="D87" s="7">
        <v>47.84</v>
      </c>
      <c r="E87" s="2"/>
      <c r="F87" s="6">
        <f t="shared" si="59"/>
        <v>2.1141480875886604E-3</v>
      </c>
      <c r="G87" s="2"/>
      <c r="H87" s="7">
        <v>511.48</v>
      </c>
      <c r="I87" s="2"/>
      <c r="J87" s="6">
        <f t="shared" si="60"/>
        <v>2.5616536258457171E-2</v>
      </c>
      <c r="K87" s="2"/>
      <c r="L87" s="7">
        <f t="shared" si="61"/>
        <v>-463.64</v>
      </c>
      <c r="M87" s="2"/>
      <c r="N87" s="6">
        <f t="shared" si="62"/>
        <v>-0.90646750606084303</v>
      </c>
      <c r="O87" s="11"/>
      <c r="P87" s="7">
        <v>738.52</v>
      </c>
      <c r="Q87" s="2"/>
      <c r="R87" s="6">
        <f t="shared" si="63"/>
        <v>8.2539662670595981E-3</v>
      </c>
      <c r="S87" s="2"/>
      <c r="T87" s="7">
        <v>1071.28</v>
      </c>
      <c r="U87" s="2"/>
      <c r="V87" s="6">
        <f t="shared" si="64"/>
        <v>1.5382256129325367E-2</v>
      </c>
      <c r="W87" s="2"/>
      <c r="X87" s="7">
        <f t="shared" si="65"/>
        <v>-332.76</v>
      </c>
      <c r="Y87" s="2"/>
      <c r="Z87" s="6">
        <f t="shared" si="66"/>
        <v>-0.31061907251138826</v>
      </c>
    </row>
    <row r="88" spans="1:26" s="27" customFormat="1" outlineLevel="1" collapsed="1" x14ac:dyDescent="0.25">
      <c r="A88" s="29"/>
      <c r="B88" s="14" t="str">
        <f>CONCATENATE("     ","Travel                                            ")</f>
        <v xml:space="preserve">     Travel                                            </v>
      </c>
      <c r="C88" s="14"/>
      <c r="D88" s="1">
        <f>SUM(OSRRefD22_14x_0)</f>
        <v>27.39</v>
      </c>
      <c r="E88" s="1"/>
      <c r="F88" s="5">
        <f t="shared" si="59"/>
        <v>1.2104204874384074E-3</v>
      </c>
      <c r="G88" s="1"/>
      <c r="H88" s="1">
        <f>SUM(OSRRefH22_14x_0)</f>
        <v>0</v>
      </c>
      <c r="I88" s="1"/>
      <c r="J88" s="5">
        <f t="shared" si="60"/>
        <v>0</v>
      </c>
      <c r="K88" s="1"/>
      <c r="L88" s="1">
        <f t="shared" si="61"/>
        <v>27.39</v>
      </c>
      <c r="M88" s="1"/>
      <c r="N88" s="5">
        <f t="shared" si="62"/>
        <v>0</v>
      </c>
      <c r="O88" s="14"/>
      <c r="P88" s="1">
        <f>SUM(OSRRefP22_14x_0)</f>
        <v>175.21</v>
      </c>
      <c r="Q88" s="1"/>
      <c r="R88" s="5">
        <f t="shared" si="63"/>
        <v>1.9582102443420788E-3</v>
      </c>
      <c r="S88" s="1"/>
      <c r="T88" s="1">
        <f>SUM(OSRRefT22_14x_0)</f>
        <v>240.92</v>
      </c>
      <c r="U88" s="1"/>
      <c r="V88" s="5">
        <f t="shared" si="64"/>
        <v>3.4593132950088376E-3</v>
      </c>
      <c r="W88" s="1"/>
      <c r="X88" s="1">
        <f t="shared" si="65"/>
        <v>-65.70999999999998</v>
      </c>
      <c r="Y88" s="1"/>
      <c r="Z88" s="5">
        <f t="shared" si="66"/>
        <v>-0.27274613979744305</v>
      </c>
    </row>
    <row r="89" spans="1:26" s="24" customFormat="1" hidden="1" outlineLevel="2" x14ac:dyDescent="0.25">
      <c r="A89" s="28"/>
      <c r="B89" s="11" t="str">
        <f>CONCATENATE("          ", "6294", " - ", "TRAVEL OPERATIONAL")</f>
        <v xml:space="preserve">          6294 - TRAVEL OPERATIONAL</v>
      </c>
      <c r="C89" s="11"/>
      <c r="D89" s="7">
        <v>27.39</v>
      </c>
      <c r="E89" s="2"/>
      <c r="F89" s="6">
        <f t="shared" si="59"/>
        <v>1.2104204874384074E-3</v>
      </c>
      <c r="G89" s="2"/>
      <c r="H89" s="7"/>
      <c r="I89" s="2"/>
      <c r="J89" s="6">
        <f t="shared" si="60"/>
        <v>0</v>
      </c>
      <c r="K89" s="2"/>
      <c r="L89" s="7">
        <f t="shared" si="61"/>
        <v>27.39</v>
      </c>
      <c r="M89" s="2"/>
      <c r="N89" s="6">
        <f t="shared" si="62"/>
        <v>0</v>
      </c>
      <c r="O89" s="11"/>
      <c r="P89" s="7">
        <v>175.21</v>
      </c>
      <c r="Q89" s="2"/>
      <c r="R89" s="6">
        <f t="shared" si="63"/>
        <v>1.9582102443420788E-3</v>
      </c>
      <c r="S89" s="2"/>
      <c r="T89" s="7">
        <v>240.92</v>
      </c>
      <c r="U89" s="2"/>
      <c r="V89" s="6">
        <f t="shared" si="64"/>
        <v>3.4593132950088376E-3</v>
      </c>
      <c r="W89" s="2"/>
      <c r="X89" s="7">
        <f t="shared" si="65"/>
        <v>-65.70999999999998</v>
      </c>
      <c r="Y89" s="2"/>
      <c r="Z89" s="6">
        <f t="shared" si="66"/>
        <v>-0.27274613979744305</v>
      </c>
    </row>
    <row r="90" spans="1:26" s="27" customFormat="1" outlineLevel="1" collapsed="1" x14ac:dyDescent="0.25">
      <c r="A90" s="29"/>
      <c r="B90" s="14" t="str">
        <f>CONCATENATE("     ","Utilities                                         ")</f>
        <v xml:space="preserve">     Utilities                                         </v>
      </c>
      <c r="C90" s="14"/>
      <c r="D90" s="1">
        <f>SUM(OSRRefD22_15x_0)</f>
        <v>37.6</v>
      </c>
      <c r="E90" s="1"/>
      <c r="F90" s="5">
        <f t="shared" si="59"/>
        <v>1.661621406633228E-3</v>
      </c>
      <c r="G90" s="1"/>
      <c r="H90" s="1">
        <f>SUM(OSRRefH22_15x_0)</f>
        <v>28.01</v>
      </c>
      <c r="I90" s="1"/>
      <c r="J90" s="5">
        <f t="shared" si="60"/>
        <v>1.4028293982157375E-3</v>
      </c>
      <c r="K90" s="1"/>
      <c r="L90" s="1">
        <f t="shared" si="61"/>
        <v>9.59</v>
      </c>
      <c r="M90" s="1"/>
      <c r="N90" s="5">
        <f t="shared" si="62"/>
        <v>0.34237772224205637</v>
      </c>
      <c r="O90" s="14"/>
      <c r="P90" s="1">
        <f>SUM(OSRRefP22_15x_0)</f>
        <v>111.38</v>
      </c>
      <c r="Q90" s="1"/>
      <c r="R90" s="5">
        <f t="shared" si="63"/>
        <v>1.2448231094961517E-3</v>
      </c>
      <c r="S90" s="1"/>
      <c r="T90" s="1">
        <f>SUM(OSRRefT22_15x_0)</f>
        <v>68.36</v>
      </c>
      <c r="U90" s="1"/>
      <c r="V90" s="5">
        <f t="shared" si="64"/>
        <v>9.8156507075711501E-4</v>
      </c>
      <c r="W90" s="1"/>
      <c r="X90" s="1">
        <f t="shared" si="65"/>
        <v>43.019999999999996</v>
      </c>
      <c r="Y90" s="1"/>
      <c r="Z90" s="5">
        <f t="shared" si="66"/>
        <v>0.62931538911644236</v>
      </c>
    </row>
    <row r="91" spans="1:26" s="24" customFormat="1" hidden="1" outlineLevel="2" x14ac:dyDescent="0.25">
      <c r="A91" s="28"/>
      <c r="B91" s="11" t="str">
        <f>CONCATENATE("          ", "6274", " - ", "UTILITIES")</f>
        <v xml:space="preserve">          6274 - UTILITIES</v>
      </c>
      <c r="C91" s="11"/>
      <c r="D91" s="7">
        <v>37.6</v>
      </c>
      <c r="E91" s="2"/>
      <c r="F91" s="6">
        <f t="shared" si="59"/>
        <v>1.661621406633228E-3</v>
      </c>
      <c r="G91" s="2"/>
      <c r="H91" s="7">
        <v>28.01</v>
      </c>
      <c r="I91" s="2"/>
      <c r="J91" s="6">
        <f t="shared" si="60"/>
        <v>1.4028293982157375E-3</v>
      </c>
      <c r="K91" s="2"/>
      <c r="L91" s="7">
        <f t="shared" si="61"/>
        <v>9.59</v>
      </c>
      <c r="M91" s="2"/>
      <c r="N91" s="6">
        <f t="shared" si="62"/>
        <v>0.34237772224205637</v>
      </c>
      <c r="O91" s="11"/>
      <c r="P91" s="7">
        <v>111.38</v>
      </c>
      <c r="Q91" s="2"/>
      <c r="R91" s="6">
        <f t="shared" si="63"/>
        <v>1.2448231094961517E-3</v>
      </c>
      <c r="S91" s="2"/>
      <c r="T91" s="7">
        <v>68.36</v>
      </c>
      <c r="U91" s="2"/>
      <c r="V91" s="6">
        <f t="shared" si="64"/>
        <v>9.8156507075711501E-4</v>
      </c>
      <c r="W91" s="2"/>
      <c r="X91" s="7">
        <f t="shared" si="65"/>
        <v>43.019999999999996</v>
      </c>
      <c r="Y91" s="2"/>
      <c r="Z91" s="6">
        <f t="shared" si="66"/>
        <v>0.62931538911644236</v>
      </c>
    </row>
    <row r="92" spans="1:26" s="54" customFormat="1" x14ac:dyDescent="0.25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25">
      <c r="A93" s="10"/>
      <c r="B93" s="26" t="s">
        <v>292</v>
      </c>
      <c r="C93" s="10"/>
      <c r="D93" s="4">
        <f>SUM(0)</f>
        <v>0</v>
      </c>
      <c r="E93" s="4"/>
      <c r="F93" s="12">
        <f>IF(D$12=0,0,D93/D$12)</f>
        <v>0</v>
      </c>
      <c r="G93" s="4"/>
      <c r="H93" s="4">
        <f>SUM(0)</f>
        <v>0</v>
      </c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>
        <f>SUM(0)</f>
        <v>0</v>
      </c>
      <c r="Q93" s="4"/>
      <c r="R93" s="12">
        <f>IF(P$12=0,0,P93/P$12)</f>
        <v>0</v>
      </c>
      <c r="S93" s="4"/>
      <c r="T93" s="4">
        <f>SUM(0)</f>
        <v>0</v>
      </c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5" t="s">
        <v>276</v>
      </c>
      <c r="C95" s="25"/>
      <c r="D95" s="21">
        <f>+D41-D43+D93</f>
        <v>-3044.0600000000013</v>
      </c>
      <c r="E95" s="13"/>
      <c r="F95" s="22">
        <f>IF(D$12=0,0,D95/D$12)</f>
        <v>-0.13452327816691345</v>
      </c>
      <c r="G95" s="13"/>
      <c r="H95" s="21">
        <f>+H41-H43+H93</f>
        <v>-11060.990000000005</v>
      </c>
      <c r="I95" s="13"/>
      <c r="J95" s="22">
        <f>IF(H$12=0,0,H95/H$12)</f>
        <v>-0.55396936613246328</v>
      </c>
      <c r="K95" s="16"/>
      <c r="L95" s="21">
        <f>+D95-H95</f>
        <v>8016.9300000000039</v>
      </c>
      <c r="M95" s="16"/>
      <c r="N95" s="22">
        <f>IF(H95=0,0,L95/H95)</f>
        <v>-0.72479316950833517</v>
      </c>
      <c r="O95" s="26"/>
      <c r="P95" s="21">
        <f>+P41-P43+P93</f>
        <v>-2096.8299999999945</v>
      </c>
      <c r="Q95" s="13"/>
      <c r="R95" s="22">
        <f>IF(P$12=0,0,P95/P$12)</f>
        <v>-2.3434929436925919E-2</v>
      </c>
      <c r="S95" s="13"/>
      <c r="T95" s="21">
        <f>+T41-T43+T93</f>
        <v>-21460.170000000006</v>
      </c>
      <c r="U95" s="13"/>
      <c r="V95" s="22">
        <f>IF(T$12=0,0,T95/T$12)</f>
        <v>-0.308141505039639</v>
      </c>
      <c r="W95" s="16"/>
      <c r="X95" s="21">
        <f>+P95-T95</f>
        <v>19363.340000000011</v>
      </c>
      <c r="Y95" s="16"/>
      <c r="Z95" s="22">
        <f>IF(T95=0,0,X95/T95)</f>
        <v>-0.90229201353018196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1"/>
      <c r="B97" s="10" t="s">
        <v>127</v>
      </c>
      <c r="C97" s="10"/>
      <c r="D97" s="4">
        <v>1085.76</v>
      </c>
      <c r="E97" s="4"/>
      <c r="F97" s="12">
        <f>IF(D$12=0,0,D97/D$12)</f>
        <v>4.7981969640055681E-2</v>
      </c>
      <c r="G97" s="4"/>
      <c r="H97" s="4">
        <v>4514.5600000000004</v>
      </c>
      <c r="I97" s="4"/>
      <c r="J97" s="12">
        <f>IF(H$12=0,0,H97/H$12)</f>
        <v>0.22610344477004071</v>
      </c>
      <c r="K97" s="4"/>
      <c r="L97" s="4">
        <f>+D97-H97</f>
        <v>-3428.8</v>
      </c>
      <c r="M97" s="4"/>
      <c r="N97" s="12">
        <f>IF(H97=0,0,L97/H97)</f>
        <v>-0.75949815707400059</v>
      </c>
      <c r="O97" s="10"/>
      <c r="P97" s="4">
        <v>11074.77</v>
      </c>
      <c r="Q97" s="4"/>
      <c r="R97" s="12">
        <f>IF(P$12=0,0,P97/P$12)</f>
        <v>0.12377562963148409</v>
      </c>
      <c r="S97" s="4"/>
      <c r="T97" s="4">
        <v>12901.88</v>
      </c>
      <c r="U97" s="4"/>
      <c r="V97" s="12">
        <f>IF(T$12=0,0,T97/T$12)</f>
        <v>0.18525504322849334</v>
      </c>
      <c r="W97" s="4"/>
      <c r="X97" s="4">
        <f>+P97-T97</f>
        <v>-1827.1099999999988</v>
      </c>
      <c r="Y97" s="4"/>
      <c r="Z97" s="12">
        <f>IF(T97=0,0,X97/T97)</f>
        <v>-0.14161579552747341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5" t="s">
        <v>125</v>
      </c>
      <c r="C99" s="25"/>
      <c r="D99" s="33">
        <f>+D95-D97</f>
        <v>-4129.8200000000015</v>
      </c>
      <c r="E99" s="13"/>
      <c r="F99" s="35">
        <f>IF(D$12=0,0,D99/D$12)</f>
        <v>-0.18250524780696917</v>
      </c>
      <c r="G99" s="13"/>
      <c r="H99" s="33">
        <f>+H95-H97</f>
        <v>-15575.550000000007</v>
      </c>
      <c r="I99" s="13"/>
      <c r="J99" s="35">
        <f>IF(H$12=0,0,H99/H$12)</f>
        <v>-0.78007281090250402</v>
      </c>
      <c r="K99" s="16"/>
      <c r="L99" s="33">
        <f>D99-H99</f>
        <v>11445.730000000005</v>
      </c>
      <c r="M99" s="16"/>
      <c r="N99" s="35">
        <f>IF(H99=0,0,L99/H99)</f>
        <v>-0.73485238081480275</v>
      </c>
      <c r="O99" s="26"/>
      <c r="P99" s="33">
        <f>+P95-P97</f>
        <v>-13171.599999999995</v>
      </c>
      <c r="Q99" s="13"/>
      <c r="R99" s="35">
        <f>IF(P$12=0,0,P99/P$12)</f>
        <v>-0.14721055906841002</v>
      </c>
      <c r="S99" s="13"/>
      <c r="T99" s="33">
        <f>+T95-T97</f>
        <v>-34362.050000000003</v>
      </c>
      <c r="U99" s="13"/>
      <c r="V99" s="35">
        <f>IF(T$12=0,0,T99/T$12)</f>
        <v>-0.49339654826813234</v>
      </c>
      <c r="W99" s="16"/>
      <c r="X99" s="33">
        <f>P99-T99</f>
        <v>21190.450000000008</v>
      </c>
      <c r="Y99" s="16"/>
      <c r="Z99" s="35">
        <f>IF(T99=0,0,X99/T99)</f>
        <v>-0.61668177538883762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5" t="s">
        <v>293</v>
      </c>
      <c r="C102" s="25"/>
      <c r="D102" s="31">
        <f>SUM(D99:D101)</f>
        <v>-4129.8200000000015</v>
      </c>
      <c r="E102" s="13"/>
      <c r="F102" s="32">
        <f>IF(D$12=0,0,D102/D$12)</f>
        <v>-0.18250524780696917</v>
      </c>
      <c r="G102" s="13"/>
      <c r="H102" s="31">
        <f>SUM(H99:H101)</f>
        <v>-15575.550000000007</v>
      </c>
      <c r="I102" s="13"/>
      <c r="J102" s="32">
        <f>IF(H$12=0,0,H102/H$12)</f>
        <v>-0.78007281090250402</v>
      </c>
      <c r="K102" s="16"/>
      <c r="L102" s="31">
        <f>+D102-H102</f>
        <v>11445.730000000005</v>
      </c>
      <c r="M102" s="16"/>
      <c r="N102" s="32">
        <f>IF(H102=0,0,L102/H102)</f>
        <v>-0.73485238081480275</v>
      </c>
      <c r="O102" s="26"/>
      <c r="P102" s="31">
        <f>SUM(P99:P101)</f>
        <v>-13171.599999999995</v>
      </c>
      <c r="Q102" s="13"/>
      <c r="R102" s="32">
        <f>IF(P$12=0,0,P102/P$12)</f>
        <v>-0.14721055906841002</v>
      </c>
      <c r="S102" s="13"/>
      <c r="T102" s="31">
        <f>SUM(T99:T101)</f>
        <v>-34362.050000000003</v>
      </c>
      <c r="U102" s="13"/>
      <c r="V102" s="32">
        <f>IF(T$12=0,0,T102/T$12)</f>
        <v>-0.49339654826813234</v>
      </c>
      <c r="W102" s="16"/>
      <c r="X102" s="31">
        <f>+P102-T102</f>
        <v>21190.450000000008</v>
      </c>
      <c r="Y102" s="16"/>
      <c r="Z102" s="32">
        <f>IF(T102=0,0,X102/T102)</f>
        <v>-0.61668177538883762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A104" s="9"/>
      <c r="B104" s="58">
        <v>44481.985668518515</v>
      </c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A105" s="9"/>
      <c r="B105" s="53" t="s">
        <v>56</v>
      </c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52"/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</sheetPr>
  <dimension ref="A2:Z8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124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16536.91</v>
      </c>
      <c r="E12" s="4"/>
      <c r="F12" s="12"/>
      <c r="G12" s="4"/>
      <c r="H12" s="4">
        <f>SUM(OSRRefH13x_0)</f>
        <v>9104.9600000000009</v>
      </c>
      <c r="I12" s="4"/>
      <c r="J12" s="12"/>
      <c r="K12" s="4"/>
      <c r="L12" s="4">
        <f t="shared" ref="L12:L23" si="0">+D12-H12</f>
        <v>7431.9499999999989</v>
      </c>
      <c r="M12" s="4"/>
      <c r="N12" s="12">
        <f t="shared" ref="N12:N23" si="1">IF(H12=0,0,L12/H12)</f>
        <v>0.81625289951850399</v>
      </c>
      <c r="O12" s="10"/>
      <c r="P12" s="4">
        <f>SUM(OSRRefP13x_0)</f>
        <v>75012.580000000016</v>
      </c>
      <c r="Q12" s="4"/>
      <c r="R12" s="12"/>
      <c r="S12" s="4"/>
      <c r="T12" s="4">
        <f>SUM(OSRRefT13x_0)</f>
        <v>61477.1</v>
      </c>
      <c r="U12" s="4"/>
      <c r="V12" s="12"/>
      <c r="W12" s="4"/>
      <c r="X12" s="4">
        <f t="shared" ref="X12:X23" si="2">+P12-T12</f>
        <v>13535.480000000018</v>
      </c>
      <c r="Y12" s="4"/>
      <c r="Z12" s="12">
        <f t="shared" ref="Z12:Z23" si="3">IF(T12=0,0,X12/T12)</f>
        <v>0.22017108809621824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--11641.04</f>
        <v>11641.04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11641.04</v>
      </c>
      <c r="M13" s="2"/>
      <c r="N13" s="19">
        <f t="shared" si="1"/>
        <v>0</v>
      </c>
      <c r="O13" s="11"/>
      <c r="P13" s="2">
        <f>--66441.66</f>
        <v>66441.66</v>
      </c>
      <c r="Q13" s="2"/>
      <c r="R13" s="19"/>
      <c r="S13" s="2"/>
      <c r="T13" s="2">
        <f>-7.3</f>
        <v>-7.3</v>
      </c>
      <c r="U13" s="2"/>
      <c r="V13" s="19"/>
      <c r="W13" s="2"/>
      <c r="X13" s="2">
        <f t="shared" si="2"/>
        <v>66448.960000000006</v>
      </c>
      <c r="Y13" s="2"/>
      <c r="Z13" s="19">
        <f t="shared" si="3"/>
        <v>-9102.597260273973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 t="shared" ref="D14:D16" si="4">0</f>
        <v>0</v>
      </c>
      <c r="E14" s="2"/>
      <c r="F14" s="19"/>
      <c r="G14" s="2"/>
      <c r="H14" s="2">
        <f>--8785.72</f>
        <v>8785.7199999999993</v>
      </c>
      <c r="I14" s="2"/>
      <c r="J14" s="19"/>
      <c r="K14" s="2"/>
      <c r="L14" s="2">
        <f t="shared" si="0"/>
        <v>-8785.7199999999993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--52221.77</f>
        <v>52221.77</v>
      </c>
      <c r="U14" s="2"/>
      <c r="V14" s="19"/>
      <c r="W14" s="2"/>
      <c r="X14" s="2">
        <f t="shared" si="2"/>
        <v>-52221.77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 t="shared" si="4"/>
        <v>0</v>
      </c>
      <c r="E15" s="2"/>
      <c r="F15" s="19"/>
      <c r="G15" s="2"/>
      <c r="H15" s="2">
        <f>--476.85</f>
        <v>476.85</v>
      </c>
      <c r="I15" s="2"/>
      <c r="J15" s="19"/>
      <c r="K15" s="2"/>
      <c r="L15" s="2">
        <f t="shared" si="0"/>
        <v>-476.85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--9433.72</f>
        <v>9433.7199999999993</v>
      </c>
      <c r="U15" s="2"/>
      <c r="V15" s="19"/>
      <c r="W15" s="2"/>
      <c r="X15" s="2">
        <f t="shared" si="2"/>
        <v>-9433.7199999999993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si="4"/>
        <v>0</v>
      </c>
      <c r="E16" s="2"/>
      <c r="F16" s="19"/>
      <c r="G16" s="2"/>
      <c r="H16" s="2">
        <f>--2.99</f>
        <v>2.99</v>
      </c>
      <c r="I16" s="2"/>
      <c r="J16" s="19"/>
      <c r="K16" s="2"/>
      <c r="L16" s="2">
        <f t="shared" si="0"/>
        <v>-2.99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--7.98</f>
        <v>7.98</v>
      </c>
      <c r="U16" s="2"/>
      <c r="V16" s="19"/>
      <c r="W16" s="2"/>
      <c r="X16" s="2">
        <f t="shared" si="2"/>
        <v>-7.98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--171.97</f>
        <v>171.97</v>
      </c>
      <c r="E17" s="2"/>
      <c r="F17" s="19"/>
      <c r="G17" s="2"/>
      <c r="H17" s="2">
        <f t="shared" ref="H17:H19" si="6">0</f>
        <v>0</v>
      </c>
      <c r="I17" s="2"/>
      <c r="J17" s="19"/>
      <c r="K17" s="2"/>
      <c r="L17" s="2">
        <f t="shared" si="0"/>
        <v>171.97</v>
      </c>
      <c r="M17" s="2"/>
      <c r="N17" s="19">
        <f t="shared" si="1"/>
        <v>0</v>
      </c>
      <c r="O17" s="11"/>
      <c r="P17" s="2">
        <f>--1006.82</f>
        <v>1006.82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1006.82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--71.05</f>
        <v>71.05</v>
      </c>
      <c r="E18" s="2"/>
      <c r="F18" s="19"/>
      <c r="G18" s="2"/>
      <c r="H18" s="2">
        <f t="shared" si="6"/>
        <v>0</v>
      </c>
      <c r="I18" s="2"/>
      <c r="J18" s="19"/>
      <c r="K18" s="2"/>
      <c r="L18" s="2">
        <f t="shared" si="0"/>
        <v>71.05</v>
      </c>
      <c r="M18" s="2"/>
      <c r="N18" s="19">
        <f t="shared" si="1"/>
        <v>0</v>
      </c>
      <c r="O18" s="11"/>
      <c r="P18" s="2">
        <f>--460.55</f>
        <v>460.55</v>
      </c>
      <c r="Q18" s="2"/>
      <c r="R18" s="19"/>
      <c r="S18" s="2"/>
      <c r="T18" s="2">
        <f>--457.5</f>
        <v>457.5</v>
      </c>
      <c r="U18" s="2"/>
      <c r="V18" s="19"/>
      <c r="W18" s="2"/>
      <c r="X18" s="2">
        <f t="shared" si="2"/>
        <v>3.0500000000000114</v>
      </c>
      <c r="Y18" s="2"/>
      <c r="Z18" s="19">
        <f t="shared" si="3"/>
        <v>6.6666666666666914E-3</v>
      </c>
    </row>
    <row r="19" spans="1:26" s="24" customFormat="1" hidden="1" outlineLevel="1" x14ac:dyDescent="0.25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0</f>
        <v>0</v>
      </c>
      <c r="E19" s="2"/>
      <c r="F19" s="19"/>
      <c r="G19" s="2"/>
      <c r="H19" s="2">
        <f t="shared" si="6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0</f>
        <v>0</v>
      </c>
      <c r="Q19" s="2"/>
      <c r="R19" s="19"/>
      <c r="S19" s="2"/>
      <c r="T19" s="2">
        <f>--5.98</f>
        <v>5.98</v>
      </c>
      <c r="U19" s="2"/>
      <c r="V19" s="19"/>
      <c r="W19" s="2"/>
      <c r="X19" s="2">
        <f t="shared" si="2"/>
        <v>-5.98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--4759.35</f>
        <v>4759.3500000000004</v>
      </c>
      <c r="E20" s="2"/>
      <c r="F20" s="19"/>
      <c r="G20" s="2"/>
      <c r="H20" s="2">
        <f>--49.7</f>
        <v>49.7</v>
      </c>
      <c r="I20" s="2"/>
      <c r="J20" s="19"/>
      <c r="K20" s="2"/>
      <c r="L20" s="2">
        <f t="shared" si="0"/>
        <v>4709.6500000000005</v>
      </c>
      <c r="M20" s="2"/>
      <c r="N20" s="19">
        <f t="shared" si="1"/>
        <v>94.761569416499</v>
      </c>
      <c r="O20" s="11"/>
      <c r="P20" s="2">
        <f>--7492.95</f>
        <v>7492.95</v>
      </c>
      <c r="Q20" s="2"/>
      <c r="R20" s="19"/>
      <c r="S20" s="2"/>
      <c r="T20" s="2">
        <f>--65.2</f>
        <v>65.2</v>
      </c>
      <c r="U20" s="2"/>
      <c r="V20" s="19"/>
      <c r="W20" s="2"/>
      <c r="X20" s="2">
        <f t="shared" si="2"/>
        <v>7427.75</v>
      </c>
      <c r="Y20" s="2"/>
      <c r="Z20" s="19">
        <f t="shared" si="3"/>
        <v>113.92254601226993</v>
      </c>
    </row>
    <row r="21" spans="1:26" s="24" customFormat="1" hidden="1" outlineLevel="1" x14ac:dyDescent="0.25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>0</f>
        <v>0</v>
      </c>
      <c r="E21" s="2"/>
      <c r="F21" s="19"/>
      <c r="G21" s="2"/>
      <c r="H21" s="2">
        <f>--24</f>
        <v>24</v>
      </c>
      <c r="I21" s="2"/>
      <c r="J21" s="19"/>
      <c r="K21" s="2"/>
      <c r="L21" s="2">
        <f t="shared" si="0"/>
        <v>-24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--48</f>
        <v>48</v>
      </c>
      <c r="U21" s="2"/>
      <c r="V21" s="19"/>
      <c r="W21" s="2"/>
      <c r="X21" s="2">
        <f t="shared" si="2"/>
        <v>-48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"4200", " - ", "TAXABLE RETURNS")</f>
        <v xml:space="preserve">          4200 - TAXABLE RETURNS</v>
      </c>
      <c r="C22" s="11"/>
      <c r="D22" s="2">
        <f>-106.5</f>
        <v>-106.5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-106.5</v>
      </c>
      <c r="M22" s="2"/>
      <c r="N22" s="19">
        <f t="shared" si="1"/>
        <v>0</v>
      </c>
      <c r="O22" s="11"/>
      <c r="P22" s="2">
        <f>-389.4</f>
        <v>-389.4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-389.4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0</f>
        <v>0</v>
      </c>
      <c r="E23" s="2"/>
      <c r="F23" s="19"/>
      <c r="G23" s="2"/>
      <c r="H23" s="2">
        <f>-234.3</f>
        <v>-234.3</v>
      </c>
      <c r="I23" s="2"/>
      <c r="J23" s="19"/>
      <c r="K23" s="2"/>
      <c r="L23" s="2">
        <f t="shared" si="0"/>
        <v>234.3</v>
      </c>
      <c r="M23" s="2"/>
      <c r="N23" s="19">
        <f t="shared" si="1"/>
        <v>-1</v>
      </c>
      <c r="O23" s="11"/>
      <c r="P23" s="2">
        <f>0</f>
        <v>0</v>
      </c>
      <c r="Q23" s="2"/>
      <c r="R23" s="19"/>
      <c r="S23" s="2"/>
      <c r="T23" s="2">
        <f>-755.75</f>
        <v>-755.75</v>
      </c>
      <c r="U23" s="2"/>
      <c r="V23" s="19"/>
      <c r="W23" s="2"/>
      <c r="X23" s="2">
        <f t="shared" si="2"/>
        <v>755.75</v>
      </c>
      <c r="Y23" s="2"/>
      <c r="Z23" s="19">
        <f t="shared" si="3"/>
        <v>-1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6" t="s">
        <v>256</v>
      </c>
      <c r="C25" s="10"/>
      <c r="D25" s="4">
        <f>SUM(OSRRefD16x_0)</f>
        <v>0</v>
      </c>
      <c r="E25" s="4"/>
      <c r="F25" s="12">
        <f t="shared" ref="F25:F27" si="7">IF(D$12=0,0,D25/D$12)</f>
        <v>0</v>
      </c>
      <c r="G25" s="4"/>
      <c r="H25" s="4">
        <f>SUM(OSRRefH16x_0)</f>
        <v>0</v>
      </c>
      <c r="I25" s="4"/>
      <c r="J25" s="12">
        <f t="shared" ref="J25:J27" si="8">IF(H$12=0,0,H25/H$12)</f>
        <v>0</v>
      </c>
      <c r="K25" s="4"/>
      <c r="L25" s="4">
        <f t="shared" ref="L25:L27" si="9">+D25-H25</f>
        <v>0</v>
      </c>
      <c r="M25" s="4"/>
      <c r="N25" s="12">
        <f t="shared" ref="N25:N27" si="10">IF(H25=0,0,L25/H25)</f>
        <v>0</v>
      </c>
      <c r="O25" s="10"/>
      <c r="P25" s="4">
        <f>SUM(OSRRefP16x_0)</f>
        <v>0</v>
      </c>
      <c r="Q25" s="4"/>
      <c r="R25" s="12">
        <f t="shared" ref="R25:R27" si="11">IF(P$12=0,0,P25/P$12)</f>
        <v>0</v>
      </c>
      <c r="S25" s="4"/>
      <c r="T25" s="4">
        <f>SUM(OSRRefT16x_0)</f>
        <v>0</v>
      </c>
      <c r="U25" s="4"/>
      <c r="V25" s="12">
        <f t="shared" ref="V25:V27" si="12">IF(T$12=0,0,T25/T$12)</f>
        <v>0</v>
      </c>
      <c r="W25" s="4"/>
      <c r="X25" s="4">
        <f t="shared" ref="X25:X27" si="13">+P25-T25</f>
        <v>0</v>
      </c>
      <c r="Y25" s="4"/>
      <c r="Z25" s="12">
        <f t="shared" ref="Z25:Z27" si="14">IF(T25=0,0,X25/T25)</f>
        <v>0</v>
      </c>
    </row>
    <row r="26" spans="1:26" s="24" customFormat="1" hidden="1" outlineLevel="1" x14ac:dyDescent="0.25">
      <c r="A26" s="44"/>
      <c r="B26" s="11" t="str">
        <f>CONCATENATE("          ", "5092", " - ", "PURCHASES @ COST-GRAD MERCH")</f>
        <v xml:space="preserve">          5092 - PURCHASES @ COST-GRAD MERCH</v>
      </c>
      <c r="C26" s="11"/>
      <c r="D26" s="2"/>
      <c r="E26" s="2"/>
      <c r="F26" s="19">
        <f t="shared" si="7"/>
        <v>0</v>
      </c>
      <c r="G26" s="2"/>
      <c r="H26" s="2"/>
      <c r="I26" s="2"/>
      <c r="J26" s="19">
        <f t="shared" si="8"/>
        <v>0</v>
      </c>
      <c r="K26" s="2"/>
      <c r="L26" s="2">
        <f t="shared" si="9"/>
        <v>0</v>
      </c>
      <c r="M26" s="2"/>
      <c r="N26" s="19">
        <f t="shared" si="10"/>
        <v>0</v>
      </c>
      <c r="O26" s="11"/>
      <c r="P26" s="2"/>
      <c r="Q26" s="2"/>
      <c r="R26" s="19">
        <f t="shared" si="11"/>
        <v>0</v>
      </c>
      <c r="S26" s="2"/>
      <c r="T26" s="2">
        <v>0</v>
      </c>
      <c r="U26" s="2"/>
      <c r="V26" s="19">
        <f t="shared" si="12"/>
        <v>0</v>
      </c>
      <c r="W26" s="2"/>
      <c r="X26" s="2">
        <f t="shared" si="13"/>
        <v>0</v>
      </c>
      <c r="Y26" s="2"/>
      <c r="Z26" s="19">
        <f t="shared" si="14"/>
        <v>0</v>
      </c>
    </row>
    <row r="27" spans="1:26" s="24" customFormat="1" hidden="1" outlineLevel="1" x14ac:dyDescent="0.25">
      <c r="A27" s="44"/>
      <c r="B27" s="11" t="str">
        <f>CONCATENATE("          ", "5592", " - ", "FREIGHT-IN-GRAD MERCH")</f>
        <v xml:space="preserve">          5592 - FREIGHT-IN-GRAD MERCH</v>
      </c>
      <c r="C27" s="11"/>
      <c r="D27" s="2"/>
      <c r="E27" s="2"/>
      <c r="F27" s="19">
        <f t="shared" si="7"/>
        <v>0</v>
      </c>
      <c r="G27" s="2"/>
      <c r="H27" s="2"/>
      <c r="I27" s="2"/>
      <c r="J27" s="19">
        <f t="shared" si="8"/>
        <v>0</v>
      </c>
      <c r="K27" s="2"/>
      <c r="L27" s="2">
        <f t="shared" si="9"/>
        <v>0</v>
      </c>
      <c r="M27" s="2"/>
      <c r="N27" s="19">
        <f t="shared" si="10"/>
        <v>0</v>
      </c>
      <c r="O27" s="11"/>
      <c r="P27" s="2"/>
      <c r="Q27" s="2"/>
      <c r="R27" s="19">
        <f t="shared" si="11"/>
        <v>0</v>
      </c>
      <c r="S27" s="2"/>
      <c r="T27" s="2">
        <v>0</v>
      </c>
      <c r="U27" s="2"/>
      <c r="V27" s="19">
        <f t="shared" si="12"/>
        <v>0</v>
      </c>
      <c r="W27" s="2"/>
      <c r="X27" s="2">
        <f t="shared" si="13"/>
        <v>0</v>
      </c>
      <c r="Y27" s="2"/>
      <c r="Z27" s="19">
        <f t="shared" si="14"/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5" t="s">
        <v>107</v>
      </c>
      <c r="C29" s="25"/>
      <c r="D29" s="21">
        <f>D12-D25</f>
        <v>16536.91</v>
      </c>
      <c r="E29" s="13"/>
      <c r="F29" s="22">
        <f>IF(D$12=0,0,D29/D$12)</f>
        <v>1</v>
      </c>
      <c r="G29" s="13"/>
      <c r="H29" s="21">
        <f>H12-H25</f>
        <v>9104.9600000000009</v>
      </c>
      <c r="I29" s="13"/>
      <c r="J29" s="22">
        <f>IF(H$12=0,0,H29/H$12)</f>
        <v>1</v>
      </c>
      <c r="K29" s="16"/>
      <c r="L29" s="21">
        <f>+D29-H29</f>
        <v>7431.9499999999989</v>
      </c>
      <c r="M29" s="16"/>
      <c r="N29" s="22">
        <f>IF(H29=0,0,L29/H29)</f>
        <v>0.81625289951850399</v>
      </c>
      <c r="O29" s="26"/>
      <c r="P29" s="21">
        <f>P12-P25</f>
        <v>75012.580000000016</v>
      </c>
      <c r="Q29" s="13"/>
      <c r="R29" s="22">
        <f>IF(P$12=0,0,P29/P$12)</f>
        <v>1</v>
      </c>
      <c r="S29" s="13"/>
      <c r="T29" s="21">
        <f>T12-T25</f>
        <v>61477.1</v>
      </c>
      <c r="U29" s="13"/>
      <c r="V29" s="22">
        <f>IF(T$12=0,0,T29/T$12)</f>
        <v>1</v>
      </c>
      <c r="W29" s="16"/>
      <c r="X29" s="21">
        <f>+P29-T29</f>
        <v>13535.480000000018</v>
      </c>
      <c r="Y29" s="16"/>
      <c r="Z29" s="22">
        <f>IF(T29=0,0,X29/T29)</f>
        <v>0.22017108809621824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6" t="s">
        <v>294</v>
      </c>
      <c r="C31" s="10"/>
      <c r="D31" s="20">
        <f>SUM(OSRRefD22x_0)</f>
        <v>34563.810000000005</v>
      </c>
      <c r="E31" s="20"/>
      <c r="F31" s="30">
        <f t="shared" ref="F31:F40" si="15">IF(D$12=0,0,D31/D$12)</f>
        <v>2.0901008713236031</v>
      </c>
      <c r="G31" s="20"/>
      <c r="H31" s="20">
        <f>SUM(OSRRefH22x_0)</f>
        <v>38313.039999999994</v>
      </c>
      <c r="I31" s="20"/>
      <c r="J31" s="30">
        <f t="shared" ref="J31:J40" si="16">IF(H$12=0,0,H31/H$12)</f>
        <v>4.2079306224299708</v>
      </c>
      <c r="K31" s="4"/>
      <c r="L31" s="20">
        <f t="shared" ref="L31:L40" si="17">+D31-H31</f>
        <v>-3749.2299999999886</v>
      </c>
      <c r="M31" s="4"/>
      <c r="N31" s="30">
        <f t="shared" ref="N31:N40" si="18">IF(H31=0,0,L31/H31)</f>
        <v>-9.7857805071066908E-2</v>
      </c>
      <c r="O31" s="10"/>
      <c r="P31" s="20">
        <f>SUM(OSRRefP22x_0)</f>
        <v>90061.099999999991</v>
      </c>
      <c r="Q31" s="20"/>
      <c r="R31" s="30">
        <f t="shared" ref="R31:R40" si="19">IF(P$12=0,0,P31/P$12)</f>
        <v>1.2006132837985304</v>
      </c>
      <c r="S31" s="20"/>
      <c r="T31" s="20">
        <f>SUM(OSRRefT22x_0)</f>
        <v>37056.379999999976</v>
      </c>
      <c r="U31" s="20"/>
      <c r="V31" s="30">
        <f t="shared" ref="V31:V40" si="20">IF(T$12=0,0,T31/T$12)</f>
        <v>0.60276720925352656</v>
      </c>
      <c r="W31" s="4"/>
      <c r="X31" s="20">
        <f t="shared" ref="X31:X40" si="21">+P31-T31</f>
        <v>53004.720000000016</v>
      </c>
      <c r="Y31" s="4"/>
      <c r="Z31" s="30">
        <f t="shared" ref="Z31:Z40" si="22">IF(T31=0,0,X31/T31)</f>
        <v>1.4303804095273216</v>
      </c>
    </row>
    <row r="32" spans="1:26" s="27" customFormat="1" outlineLevel="1" collapsed="1" x14ac:dyDescent="0.25">
      <c r="A32" s="29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SUM(OSRRefD22_0x_0)</f>
        <v>8204.0700000000015</v>
      </c>
      <c r="E32" s="1"/>
      <c r="F32" s="5">
        <f t="shared" si="15"/>
        <v>0.49610658823202169</v>
      </c>
      <c r="G32" s="1"/>
      <c r="H32" s="1">
        <f>SUM(OSRRefH22_0x_0)</f>
        <v>9025.3599999999988</v>
      </c>
      <c r="I32" s="1"/>
      <c r="J32" s="5">
        <f t="shared" si="16"/>
        <v>0.99125751238885151</v>
      </c>
      <c r="K32" s="1"/>
      <c r="L32" s="1">
        <f t="shared" si="17"/>
        <v>-821.28999999999724</v>
      </c>
      <c r="M32" s="1"/>
      <c r="N32" s="5">
        <f t="shared" si="18"/>
        <v>-9.0998032211457205E-2</v>
      </c>
      <c r="O32" s="14"/>
      <c r="P32" s="1">
        <f>SUM(OSRRefP22_0x_0)</f>
        <v>26299.750000000004</v>
      </c>
      <c r="Q32" s="1"/>
      <c r="R32" s="5">
        <f t="shared" si="19"/>
        <v>0.35060452526762842</v>
      </c>
      <c r="S32" s="1"/>
      <c r="T32" s="1">
        <f>SUM(OSRRefT22_0x_0)</f>
        <v>25858.910000000003</v>
      </c>
      <c r="U32" s="1"/>
      <c r="V32" s="5">
        <f t="shared" si="20"/>
        <v>0.42062670490312659</v>
      </c>
      <c r="W32" s="1"/>
      <c r="X32" s="1">
        <f t="shared" si="21"/>
        <v>440.84000000000015</v>
      </c>
      <c r="Y32" s="1"/>
      <c r="Z32" s="5">
        <f t="shared" si="22"/>
        <v>1.7047895676963958E-2</v>
      </c>
    </row>
    <row r="33" spans="1:26" s="24" customFormat="1" hidden="1" outlineLevel="2" x14ac:dyDescent="0.25">
      <c r="A33" s="28"/>
      <c r="B33" s="11" t="str">
        <f>CONCATENATE("          ", "6111", " - ", "F.I.C.A.")</f>
        <v xml:space="preserve">          6111 - F.I.C.A.</v>
      </c>
      <c r="C33" s="11"/>
      <c r="D33" s="7">
        <v>1244.83</v>
      </c>
      <c r="E33" s="2"/>
      <c r="F33" s="6">
        <f t="shared" si="15"/>
        <v>7.5275852623011189E-2</v>
      </c>
      <c r="G33" s="2"/>
      <c r="H33" s="7">
        <v>1220.78</v>
      </c>
      <c r="I33" s="2"/>
      <c r="J33" s="6">
        <f t="shared" si="16"/>
        <v>0.1340785681650441</v>
      </c>
      <c r="K33" s="2"/>
      <c r="L33" s="7">
        <f t="shared" si="17"/>
        <v>24.049999999999955</v>
      </c>
      <c r="M33" s="2"/>
      <c r="N33" s="6">
        <f t="shared" si="18"/>
        <v>1.9700519340094001E-2</v>
      </c>
      <c r="O33" s="11"/>
      <c r="P33" s="7">
        <v>3879.74</v>
      </c>
      <c r="Q33" s="2"/>
      <c r="R33" s="6">
        <f t="shared" si="19"/>
        <v>5.1721191298846128E-2</v>
      </c>
      <c r="S33" s="2"/>
      <c r="T33" s="7">
        <v>3554.26</v>
      </c>
      <c r="U33" s="2"/>
      <c r="V33" s="6">
        <f t="shared" si="20"/>
        <v>5.7814373156834013E-2</v>
      </c>
      <c r="W33" s="2"/>
      <c r="X33" s="7">
        <f t="shared" si="21"/>
        <v>325.47999999999956</v>
      </c>
      <c r="Y33" s="2"/>
      <c r="Z33" s="6">
        <f t="shared" si="22"/>
        <v>9.1574617501251884E-2</v>
      </c>
    </row>
    <row r="34" spans="1:26" s="24" customFormat="1" hidden="1" outlineLevel="2" x14ac:dyDescent="0.25">
      <c r="A34" s="28"/>
      <c r="B34" s="11" t="str">
        <f>CONCATENATE("          ", "6112", " - ", "COMPENSATION INSURANCE")</f>
        <v xml:space="preserve">          6112 - COMPENSATION INSURANCE</v>
      </c>
      <c r="C34" s="11"/>
      <c r="D34" s="7">
        <v>291.74</v>
      </c>
      <c r="E34" s="2"/>
      <c r="F34" s="6">
        <f t="shared" si="15"/>
        <v>1.7641748065388273E-2</v>
      </c>
      <c r="G34" s="2"/>
      <c r="H34" s="7">
        <v>316.77</v>
      </c>
      <c r="I34" s="2"/>
      <c r="J34" s="6">
        <f t="shared" si="16"/>
        <v>3.4790927143007765E-2</v>
      </c>
      <c r="K34" s="2"/>
      <c r="L34" s="7">
        <f t="shared" si="17"/>
        <v>-25.029999999999973</v>
      </c>
      <c r="M34" s="2"/>
      <c r="N34" s="6">
        <f t="shared" si="18"/>
        <v>-7.9016320989992658E-2</v>
      </c>
      <c r="O34" s="11"/>
      <c r="P34" s="7">
        <v>828.47</v>
      </c>
      <c r="Q34" s="2"/>
      <c r="R34" s="6">
        <f t="shared" si="19"/>
        <v>1.1044414150266527E-2</v>
      </c>
      <c r="S34" s="2"/>
      <c r="T34" s="7">
        <v>922.34</v>
      </c>
      <c r="U34" s="2"/>
      <c r="V34" s="6">
        <f t="shared" si="20"/>
        <v>1.5002984851269822E-2</v>
      </c>
      <c r="W34" s="2"/>
      <c r="X34" s="7">
        <f t="shared" si="21"/>
        <v>-93.87</v>
      </c>
      <c r="Y34" s="2"/>
      <c r="Z34" s="6">
        <f t="shared" si="22"/>
        <v>-0.10177374937658565</v>
      </c>
    </row>
    <row r="35" spans="1:26" s="24" customFormat="1" hidden="1" outlineLevel="2" x14ac:dyDescent="0.25">
      <c r="A35" s="28"/>
      <c r="B35" s="11" t="str">
        <f>CONCATENATE("          ", "6113", " - ", "GROUP INSURANCE")</f>
        <v xml:space="preserve">          6113 - GROUP INSURANCE</v>
      </c>
      <c r="C35" s="11"/>
      <c r="D35" s="7">
        <v>3443.98</v>
      </c>
      <c r="E35" s="2"/>
      <c r="F35" s="6">
        <f t="shared" si="15"/>
        <v>0.20826018887446324</v>
      </c>
      <c r="G35" s="2"/>
      <c r="H35" s="7">
        <v>3423.78</v>
      </c>
      <c r="I35" s="2"/>
      <c r="J35" s="6">
        <f t="shared" si="16"/>
        <v>0.37603460092081675</v>
      </c>
      <c r="K35" s="2"/>
      <c r="L35" s="7">
        <f t="shared" si="17"/>
        <v>20.199999999999818</v>
      </c>
      <c r="M35" s="2"/>
      <c r="N35" s="6">
        <f t="shared" si="18"/>
        <v>5.8999117933978872E-3</v>
      </c>
      <c r="O35" s="11"/>
      <c r="P35" s="7">
        <v>10264.44</v>
      </c>
      <c r="Q35" s="2"/>
      <c r="R35" s="6">
        <f t="shared" si="19"/>
        <v>0.1368362480000021</v>
      </c>
      <c r="S35" s="2"/>
      <c r="T35" s="7">
        <v>9469.99</v>
      </c>
      <c r="U35" s="2"/>
      <c r="V35" s="6">
        <f t="shared" si="20"/>
        <v>0.15404093556787812</v>
      </c>
      <c r="W35" s="2"/>
      <c r="X35" s="7">
        <f t="shared" si="21"/>
        <v>794.45000000000073</v>
      </c>
      <c r="Y35" s="2"/>
      <c r="Z35" s="6">
        <f t="shared" si="22"/>
        <v>8.3891324066868153E-2</v>
      </c>
    </row>
    <row r="36" spans="1:26" s="24" customFormat="1" hidden="1" outlineLevel="2" x14ac:dyDescent="0.25">
      <c r="A36" s="28"/>
      <c r="B36" s="11" t="str">
        <f>CONCATENATE("          ", "6114", " - ", "STATE UNEMPLOYMENT INSURANCE")</f>
        <v xml:space="preserve">          6114 - STATE UNEMPLOYMENT INSURANCE</v>
      </c>
      <c r="C36" s="11"/>
      <c r="D36" s="7">
        <v>51.25</v>
      </c>
      <c r="E36" s="2"/>
      <c r="F36" s="6">
        <f t="shared" si="15"/>
        <v>3.0991279507477515E-3</v>
      </c>
      <c r="G36" s="2"/>
      <c r="H36" s="7">
        <v>44.52</v>
      </c>
      <c r="I36" s="2"/>
      <c r="J36" s="6">
        <f t="shared" si="16"/>
        <v>4.889642568446209E-3</v>
      </c>
      <c r="K36" s="2"/>
      <c r="L36" s="7">
        <f t="shared" si="17"/>
        <v>6.7299999999999969</v>
      </c>
      <c r="M36" s="2"/>
      <c r="N36" s="6">
        <f t="shared" si="18"/>
        <v>0.15116801437556146</v>
      </c>
      <c r="O36" s="11"/>
      <c r="P36" s="7">
        <v>145.54</v>
      </c>
      <c r="Q36" s="2"/>
      <c r="R36" s="6">
        <f t="shared" si="19"/>
        <v>1.9402078957956113E-3</v>
      </c>
      <c r="S36" s="2"/>
      <c r="T36" s="7">
        <v>129.62</v>
      </c>
      <c r="U36" s="2"/>
      <c r="V36" s="6">
        <f t="shared" si="20"/>
        <v>2.1084273656369608E-3</v>
      </c>
      <c r="W36" s="2"/>
      <c r="X36" s="7">
        <f t="shared" si="21"/>
        <v>15.919999999999987</v>
      </c>
      <c r="Y36" s="2"/>
      <c r="Z36" s="6">
        <f t="shared" si="22"/>
        <v>0.12282055238389128</v>
      </c>
    </row>
    <row r="37" spans="1:26" s="24" customFormat="1" hidden="1" outlineLevel="2" x14ac:dyDescent="0.25">
      <c r="A37" s="28"/>
      <c r="B37" s="11" t="str">
        <f>CONCATENATE("          ", "6115", " - ", "P.E.R.S.")</f>
        <v xml:space="preserve">          6115 - P.E.R.S.</v>
      </c>
      <c r="C37" s="11"/>
      <c r="D37" s="7">
        <v>1590.79</v>
      </c>
      <c r="E37" s="2"/>
      <c r="F37" s="6">
        <f t="shared" si="15"/>
        <v>9.6196326883317376E-2</v>
      </c>
      <c r="G37" s="2"/>
      <c r="H37" s="7">
        <v>1614.45</v>
      </c>
      <c r="I37" s="2"/>
      <c r="J37" s="6">
        <f t="shared" si="16"/>
        <v>0.17731544125399781</v>
      </c>
      <c r="K37" s="2"/>
      <c r="L37" s="7">
        <f t="shared" si="17"/>
        <v>-23.660000000000082</v>
      </c>
      <c r="M37" s="2"/>
      <c r="N37" s="6">
        <f t="shared" si="18"/>
        <v>-1.4655145715259117E-2</v>
      </c>
      <c r="O37" s="11"/>
      <c r="P37" s="7">
        <v>4772.37</v>
      </c>
      <c r="Q37" s="2"/>
      <c r="R37" s="6">
        <f t="shared" si="19"/>
        <v>6.3620928649567837E-2</v>
      </c>
      <c r="S37" s="2"/>
      <c r="T37" s="7">
        <v>5295.36</v>
      </c>
      <c r="U37" s="2"/>
      <c r="V37" s="6">
        <f t="shared" si="20"/>
        <v>8.6135487848320758E-2</v>
      </c>
      <c r="W37" s="2"/>
      <c r="X37" s="7">
        <f t="shared" si="21"/>
        <v>-522.98999999999978</v>
      </c>
      <c r="Y37" s="2"/>
      <c r="Z37" s="6">
        <f t="shared" si="22"/>
        <v>-9.8763823422770083E-2</v>
      </c>
    </row>
    <row r="38" spans="1:26" s="24" customFormat="1" hidden="1" outlineLevel="2" x14ac:dyDescent="0.25">
      <c r="A38" s="28"/>
      <c r="B38" s="11" t="str">
        <f>CONCATENATE("          ", "6118", " - ", "VACATION")</f>
        <v xml:space="preserve">          6118 - VACATION</v>
      </c>
      <c r="C38" s="11"/>
      <c r="D38" s="7">
        <v>697.52</v>
      </c>
      <c r="E38" s="2"/>
      <c r="F38" s="6">
        <f t="shared" si="15"/>
        <v>4.2179584940596516E-2</v>
      </c>
      <c r="G38" s="2"/>
      <c r="H38" s="7">
        <v>1216.0999999999999</v>
      </c>
      <c r="I38" s="2"/>
      <c r="J38" s="6">
        <f t="shared" si="16"/>
        <v>0.13356456261202682</v>
      </c>
      <c r="K38" s="2"/>
      <c r="L38" s="7">
        <f t="shared" si="17"/>
        <v>-518.57999999999993</v>
      </c>
      <c r="M38" s="2"/>
      <c r="N38" s="6">
        <f t="shared" si="18"/>
        <v>-0.42642874763588517</v>
      </c>
      <c r="O38" s="11"/>
      <c r="P38" s="7">
        <v>3129.72</v>
      </c>
      <c r="Q38" s="2"/>
      <c r="R38" s="6">
        <f t="shared" si="19"/>
        <v>4.1722601728936652E-2</v>
      </c>
      <c r="S38" s="2"/>
      <c r="T38" s="7">
        <v>3411.08</v>
      </c>
      <c r="U38" s="2"/>
      <c r="V38" s="6">
        <f t="shared" si="20"/>
        <v>5.5485375855399817E-2</v>
      </c>
      <c r="W38" s="2"/>
      <c r="X38" s="7">
        <f t="shared" si="21"/>
        <v>-281.36000000000013</v>
      </c>
      <c r="Y38" s="2"/>
      <c r="Z38" s="6">
        <f t="shared" si="22"/>
        <v>-8.2484139920494429E-2</v>
      </c>
    </row>
    <row r="39" spans="1:26" s="24" customFormat="1" hidden="1" outlineLevel="2" x14ac:dyDescent="0.25">
      <c r="A39" s="28"/>
      <c r="B39" s="11" t="str">
        <f>CONCATENATE("          ", "6119", " - ", "SICK LEAVE")</f>
        <v xml:space="preserve">          6119 - SICK LEAVE</v>
      </c>
      <c r="C39" s="11"/>
      <c r="D39" s="7">
        <v>566.41999999999996</v>
      </c>
      <c r="E39" s="2"/>
      <c r="F39" s="6">
        <f t="shared" si="15"/>
        <v>3.4251864465610564E-2</v>
      </c>
      <c r="G39" s="2"/>
      <c r="H39" s="7">
        <v>738.5</v>
      </c>
      <c r="I39" s="2"/>
      <c r="J39" s="6">
        <f t="shared" si="16"/>
        <v>8.1109636945137592E-2</v>
      </c>
      <c r="K39" s="2"/>
      <c r="L39" s="7">
        <f t="shared" si="17"/>
        <v>-172.08000000000004</v>
      </c>
      <c r="M39" s="2"/>
      <c r="N39" s="6">
        <f t="shared" si="18"/>
        <v>-0.23301286391333789</v>
      </c>
      <c r="O39" s="11"/>
      <c r="P39" s="7">
        <v>2043.42</v>
      </c>
      <c r="Q39" s="2"/>
      <c r="R39" s="6">
        <f t="shared" si="19"/>
        <v>2.7241030771105321E-2</v>
      </c>
      <c r="S39" s="2"/>
      <c r="T39" s="7">
        <v>2109.52</v>
      </c>
      <c r="U39" s="2"/>
      <c r="V39" s="6">
        <f t="shared" si="20"/>
        <v>3.431391526275638E-2</v>
      </c>
      <c r="W39" s="2"/>
      <c r="X39" s="7">
        <f t="shared" si="21"/>
        <v>-66.099999999999909</v>
      </c>
      <c r="Y39" s="2"/>
      <c r="Z39" s="6">
        <f t="shared" si="22"/>
        <v>-3.1334142364139665E-2</v>
      </c>
    </row>
    <row r="40" spans="1:26" s="24" customFormat="1" hidden="1" outlineLevel="2" x14ac:dyDescent="0.25">
      <c r="A40" s="28"/>
      <c r="B40" s="11" t="str">
        <f>CONCATENATE("          ", "6156", " - ", "EMPLOYEE MEALS")</f>
        <v xml:space="preserve">          6156 - EMPLOYEE MEALS</v>
      </c>
      <c r="C40" s="11"/>
      <c r="D40" s="7">
        <v>317.54000000000002</v>
      </c>
      <c r="E40" s="2"/>
      <c r="F40" s="6">
        <f t="shared" si="15"/>
        <v>1.9201894428886656E-2</v>
      </c>
      <c r="G40" s="2"/>
      <c r="H40" s="7">
        <v>450.46</v>
      </c>
      <c r="I40" s="2"/>
      <c r="J40" s="6">
        <f t="shared" si="16"/>
        <v>4.9474132780374644E-2</v>
      </c>
      <c r="K40" s="2"/>
      <c r="L40" s="7">
        <f t="shared" si="17"/>
        <v>-132.91999999999996</v>
      </c>
      <c r="M40" s="2"/>
      <c r="N40" s="6">
        <f t="shared" si="18"/>
        <v>-0.29507614438573893</v>
      </c>
      <c r="O40" s="11"/>
      <c r="P40" s="7">
        <v>1236.05</v>
      </c>
      <c r="Q40" s="2"/>
      <c r="R40" s="6">
        <f t="shared" si="19"/>
        <v>1.6477902773108188E-2</v>
      </c>
      <c r="S40" s="2"/>
      <c r="T40" s="7">
        <v>966.74</v>
      </c>
      <c r="U40" s="2"/>
      <c r="V40" s="6">
        <f t="shared" si="20"/>
        <v>1.5725204995030672E-2</v>
      </c>
      <c r="W40" s="2"/>
      <c r="X40" s="7">
        <f t="shared" si="21"/>
        <v>269.30999999999995</v>
      </c>
      <c r="Y40" s="2"/>
      <c r="Z40" s="6">
        <f t="shared" si="22"/>
        <v>0.27857541841653388</v>
      </c>
    </row>
    <row r="41" spans="1:26" s="27" customFormat="1" outlineLevel="1" collapsed="1" x14ac:dyDescent="0.25">
      <c r="A41" s="29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17178.86</v>
      </c>
      <c r="E41" s="1"/>
      <c r="F41" s="5">
        <f t="shared" ref="F41:F44" si="23">IF(D$12=0,0,D41/D$12)</f>
        <v>1.0388192231801467</v>
      </c>
      <c r="G41" s="1"/>
      <c r="H41" s="1">
        <f>SUM(OSRRefH22_1x_0)</f>
        <v>15984.94</v>
      </c>
      <c r="I41" s="1"/>
      <c r="J41" s="5">
        <f t="shared" ref="J41:J44" si="24">IF(H$12=0,0,H41/H$12)</f>
        <v>1.755629898428988</v>
      </c>
      <c r="K41" s="1"/>
      <c r="L41" s="1">
        <f t="shared" ref="L41:L44" si="25">+D41-H41</f>
        <v>1193.92</v>
      </c>
      <c r="M41" s="1"/>
      <c r="N41" s="5">
        <f t="shared" ref="N41:N44" si="26">IF(H41=0,0,L41/H41)</f>
        <v>7.4690302246989984E-2</v>
      </c>
      <c r="O41" s="14"/>
      <c r="P41" s="1">
        <f>SUM(OSRRefP22_1x_0)</f>
        <v>54561.1</v>
      </c>
      <c r="Q41" s="1"/>
      <c r="R41" s="5">
        <f t="shared" ref="R41:R44" si="27">IF(P$12=0,0,P41/P$12)</f>
        <v>0.72735933092822547</v>
      </c>
      <c r="S41" s="1"/>
      <c r="T41" s="1">
        <f>SUM(OSRRefT22_1x_0)</f>
        <v>44550.659999999996</v>
      </c>
      <c r="U41" s="1"/>
      <c r="V41" s="5">
        <f t="shared" ref="V41:V44" si="28">IF(T$12=0,0,T41/T$12)</f>
        <v>0.72467081238379816</v>
      </c>
      <c r="W41" s="1"/>
      <c r="X41" s="1">
        <f t="shared" ref="X41:X44" si="29">+P41-T41</f>
        <v>10010.440000000002</v>
      </c>
      <c r="Y41" s="1"/>
      <c r="Z41" s="5">
        <f t="shared" ref="Z41:Z44" si="30">IF(T41=0,0,X41/T41)</f>
        <v>0.22469790571003895</v>
      </c>
    </row>
    <row r="42" spans="1:26" s="24" customFormat="1" hidden="1" outlineLevel="2" x14ac:dyDescent="0.25">
      <c r="A42" s="28"/>
      <c r="B42" s="11" t="str">
        <f>CONCATENATE("          ", "6002", " - ", "STAFF SALARIES")</f>
        <v xml:space="preserve">          6002 - STAFF SALARIES</v>
      </c>
      <c r="C42" s="11"/>
      <c r="D42" s="7">
        <v>14552.52</v>
      </c>
      <c r="E42" s="2"/>
      <c r="F42" s="6">
        <f t="shared" si="23"/>
        <v>0.8800023704549399</v>
      </c>
      <c r="G42" s="2"/>
      <c r="H42" s="7">
        <v>14903.76</v>
      </c>
      <c r="I42" s="2"/>
      <c r="J42" s="6">
        <f t="shared" si="24"/>
        <v>1.6368836326573646</v>
      </c>
      <c r="K42" s="2"/>
      <c r="L42" s="7">
        <f t="shared" si="25"/>
        <v>-351.23999999999978</v>
      </c>
      <c r="M42" s="2"/>
      <c r="N42" s="6">
        <f t="shared" si="26"/>
        <v>-2.3567207201404195E-2</v>
      </c>
      <c r="O42" s="11"/>
      <c r="P42" s="7">
        <v>48819.14</v>
      </c>
      <c r="Q42" s="2"/>
      <c r="R42" s="6">
        <f t="shared" si="27"/>
        <v>0.65081270368250221</v>
      </c>
      <c r="S42" s="2"/>
      <c r="T42" s="7">
        <v>42013.96</v>
      </c>
      <c r="U42" s="2"/>
      <c r="V42" s="6">
        <f t="shared" si="28"/>
        <v>0.68340829349465082</v>
      </c>
      <c r="W42" s="2"/>
      <c r="X42" s="7">
        <f t="shared" si="29"/>
        <v>6805.18</v>
      </c>
      <c r="Y42" s="2"/>
      <c r="Z42" s="6">
        <f t="shared" si="30"/>
        <v>0.16197425807993343</v>
      </c>
    </row>
    <row r="43" spans="1:26" s="24" customFormat="1" hidden="1" outlineLevel="2" x14ac:dyDescent="0.25">
      <c r="A43" s="28"/>
      <c r="B43" s="11" t="str">
        <f>CONCATENATE("          ", "6005", " - ", "TEMPORARY WAGES-HOURLY")</f>
        <v xml:space="preserve">          6005 - TEMPORARY WAGES-HOURLY</v>
      </c>
      <c r="C43" s="11"/>
      <c r="D43" s="7"/>
      <c r="E43" s="2"/>
      <c r="F43" s="6">
        <f t="shared" si="23"/>
        <v>0</v>
      </c>
      <c r="G43" s="2"/>
      <c r="H43" s="7"/>
      <c r="I43" s="2"/>
      <c r="J43" s="6">
        <f t="shared" si="24"/>
        <v>0</v>
      </c>
      <c r="K43" s="2"/>
      <c r="L43" s="7">
        <f t="shared" si="25"/>
        <v>0</v>
      </c>
      <c r="M43" s="2"/>
      <c r="N43" s="6">
        <f t="shared" si="26"/>
        <v>0</v>
      </c>
      <c r="O43" s="11"/>
      <c r="P43" s="7"/>
      <c r="Q43" s="2"/>
      <c r="R43" s="6">
        <f t="shared" si="27"/>
        <v>0</v>
      </c>
      <c r="S43" s="2"/>
      <c r="T43" s="7">
        <v>383.25</v>
      </c>
      <c r="U43" s="2"/>
      <c r="V43" s="6">
        <f t="shared" si="28"/>
        <v>6.234028605773532E-3</v>
      </c>
      <c r="W43" s="2"/>
      <c r="X43" s="7">
        <f t="shared" si="29"/>
        <v>-383.25</v>
      </c>
      <c r="Y43" s="2"/>
      <c r="Z43" s="6">
        <f t="shared" si="30"/>
        <v>-1</v>
      </c>
    </row>
    <row r="44" spans="1:26" s="24" customFormat="1" hidden="1" outlineLevel="2" x14ac:dyDescent="0.25">
      <c r="A44" s="28"/>
      <c r="B44" s="11" t="str">
        <f>CONCATENATE("          ", "6007", " - ", "STUDENT HOURLY")</f>
        <v xml:space="preserve">          6007 - STUDENT HOURLY</v>
      </c>
      <c r="C44" s="11"/>
      <c r="D44" s="7">
        <v>2626.34</v>
      </c>
      <c r="E44" s="2"/>
      <c r="F44" s="6">
        <f t="shared" si="23"/>
        <v>0.15881685272520685</v>
      </c>
      <c r="G44" s="2"/>
      <c r="H44" s="7">
        <v>1081.18</v>
      </c>
      <c r="I44" s="2"/>
      <c r="J44" s="6">
        <f t="shared" si="24"/>
        <v>0.11874626577162338</v>
      </c>
      <c r="K44" s="2"/>
      <c r="L44" s="7">
        <f t="shared" si="25"/>
        <v>1545.16</v>
      </c>
      <c r="M44" s="2"/>
      <c r="N44" s="6">
        <f t="shared" si="26"/>
        <v>1.4291422334856361</v>
      </c>
      <c r="O44" s="11"/>
      <c r="P44" s="7">
        <v>5741.96</v>
      </c>
      <c r="Q44" s="2"/>
      <c r="R44" s="6">
        <f t="shared" si="27"/>
        <v>7.6546627245723295E-2</v>
      </c>
      <c r="S44" s="2"/>
      <c r="T44" s="7">
        <v>2153.4499999999998</v>
      </c>
      <c r="U44" s="2"/>
      <c r="V44" s="6">
        <f t="shared" si="28"/>
        <v>3.5028490283373806E-2</v>
      </c>
      <c r="W44" s="2"/>
      <c r="X44" s="7">
        <f t="shared" si="29"/>
        <v>3588.51</v>
      </c>
      <c r="Y44" s="2"/>
      <c r="Z44" s="6">
        <f t="shared" si="30"/>
        <v>1.6664004272214357</v>
      </c>
    </row>
    <row r="45" spans="1:26" s="27" customFormat="1" outlineLevel="1" collapsed="1" x14ac:dyDescent="0.25">
      <c r="A45" s="29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SUM(OSRRefD22_2x_0)</f>
        <v>169.88</v>
      </c>
      <c r="E45" s="1"/>
      <c r="F45" s="5">
        <f t="shared" ref="F45:F53" si="31">IF(D$12=0,0,D45/D$12)</f>
        <v>1.0272777683376156E-2</v>
      </c>
      <c r="G45" s="1"/>
      <c r="H45" s="1">
        <f>SUM(OSRRefH22_2x_0)</f>
        <v>169.88</v>
      </c>
      <c r="I45" s="1"/>
      <c r="J45" s="5">
        <f t="shared" ref="J45:J53" si="32">IF(H$12=0,0,H45/H$12)</f>
        <v>1.8657962253540925E-2</v>
      </c>
      <c r="K45" s="1"/>
      <c r="L45" s="1">
        <f t="shared" ref="L45:L53" si="33">+D45-H45</f>
        <v>0</v>
      </c>
      <c r="M45" s="1"/>
      <c r="N45" s="5">
        <f t="shared" ref="N45:N53" si="34">IF(H45=0,0,L45/H45)</f>
        <v>0</v>
      </c>
      <c r="O45" s="14"/>
      <c r="P45" s="1">
        <f>SUM(OSRRefP22_2x_0)</f>
        <v>509.64</v>
      </c>
      <c r="Q45" s="1"/>
      <c r="R45" s="5">
        <f t="shared" ref="R45:R53" si="35">IF(P$12=0,0,P45/P$12)</f>
        <v>6.7940604096006279E-3</v>
      </c>
      <c r="S45" s="1"/>
      <c r="T45" s="1">
        <f>SUM(OSRRefT22_2x_0)</f>
        <v>509.64</v>
      </c>
      <c r="U45" s="1"/>
      <c r="V45" s="5">
        <f t="shared" ref="V45:V53" si="36">IF(T$12=0,0,T45/T$12)</f>
        <v>8.2899160825738363E-3</v>
      </c>
      <c r="W45" s="1"/>
      <c r="X45" s="1">
        <f t="shared" ref="X45:X53" si="37">+P45-T45</f>
        <v>0</v>
      </c>
      <c r="Y45" s="1"/>
      <c r="Z45" s="5">
        <f t="shared" ref="Z45:Z53" si="38">IF(T45=0,0,X45/T45)</f>
        <v>0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169.88</v>
      </c>
      <c r="E46" s="2"/>
      <c r="F46" s="6">
        <f t="shared" si="31"/>
        <v>1.0272777683376156E-2</v>
      </c>
      <c r="G46" s="2"/>
      <c r="H46" s="7">
        <v>169.88</v>
      </c>
      <c r="I46" s="2"/>
      <c r="J46" s="6">
        <f t="shared" si="32"/>
        <v>1.8657962253540925E-2</v>
      </c>
      <c r="K46" s="2"/>
      <c r="L46" s="7">
        <f t="shared" si="33"/>
        <v>0</v>
      </c>
      <c r="M46" s="2"/>
      <c r="N46" s="6">
        <f t="shared" si="34"/>
        <v>0</v>
      </c>
      <c r="O46" s="11"/>
      <c r="P46" s="7">
        <v>509.64</v>
      </c>
      <c r="Q46" s="2"/>
      <c r="R46" s="6">
        <f t="shared" si="35"/>
        <v>6.7940604096006279E-3</v>
      </c>
      <c r="S46" s="2"/>
      <c r="T46" s="7">
        <v>509.64</v>
      </c>
      <c r="U46" s="2"/>
      <c r="V46" s="6">
        <f t="shared" si="36"/>
        <v>8.2899160825738363E-3</v>
      </c>
      <c r="W46" s="2"/>
      <c r="X46" s="7">
        <f t="shared" si="37"/>
        <v>0</v>
      </c>
      <c r="Y46" s="2"/>
      <c r="Z46" s="6">
        <f t="shared" si="38"/>
        <v>0</v>
      </c>
    </row>
    <row r="47" spans="1:26" s="27" customFormat="1" outlineLevel="1" collapsed="1" x14ac:dyDescent="0.25">
      <c r="A47" s="29"/>
      <c r="B47" s="14" t="str">
        <f>CONCATENATE("     ","Discounts and Markdowns                           ")</f>
        <v xml:space="preserve">     Discounts and Markdowns                           </v>
      </c>
      <c r="C47" s="14"/>
      <c r="D47" s="1">
        <f>SUM(OSRRefD22_3x_0)</f>
        <v>0</v>
      </c>
      <c r="E47" s="1"/>
      <c r="F47" s="5">
        <f t="shared" si="31"/>
        <v>0</v>
      </c>
      <c r="G47" s="1"/>
      <c r="H47" s="1">
        <f>SUM(OSRRefH22_3x_0)</f>
        <v>0</v>
      </c>
      <c r="I47" s="1"/>
      <c r="J47" s="5">
        <f t="shared" si="32"/>
        <v>0</v>
      </c>
      <c r="K47" s="1"/>
      <c r="L47" s="1">
        <f t="shared" si="33"/>
        <v>0</v>
      </c>
      <c r="M47" s="1"/>
      <c r="N47" s="5">
        <f t="shared" si="34"/>
        <v>0</v>
      </c>
      <c r="O47" s="14"/>
      <c r="P47" s="1">
        <f>SUM(OSRRefP22_3x_0)</f>
        <v>0</v>
      </c>
      <c r="Q47" s="1"/>
      <c r="R47" s="5">
        <f t="shared" si="35"/>
        <v>0</v>
      </c>
      <c r="S47" s="1"/>
      <c r="T47" s="1">
        <f>SUM(OSRRefT22_3x_0)</f>
        <v>0</v>
      </c>
      <c r="U47" s="1"/>
      <c r="V47" s="5">
        <f t="shared" si="36"/>
        <v>0</v>
      </c>
      <c r="W47" s="1"/>
      <c r="X47" s="1">
        <f t="shared" si="37"/>
        <v>0</v>
      </c>
      <c r="Y47" s="1"/>
      <c r="Z47" s="5">
        <f t="shared" si="38"/>
        <v>0</v>
      </c>
    </row>
    <row r="48" spans="1:26" s="24" customFormat="1" hidden="1" outlineLevel="2" x14ac:dyDescent="0.25">
      <c r="A48" s="28"/>
      <c r="B48" s="11" t="str">
        <f>CONCATENATE("          ", "6382", " - ", "DISCOUNTS/MARK DOWNS")</f>
        <v xml:space="preserve">          6382 - DISCOUNTS/MARK DOWNS</v>
      </c>
      <c r="C48" s="11"/>
      <c r="D48" s="7"/>
      <c r="E48" s="2"/>
      <c r="F48" s="6">
        <f t="shared" si="31"/>
        <v>0</v>
      </c>
      <c r="G48" s="2"/>
      <c r="H48" s="7">
        <v>0</v>
      </c>
      <c r="I48" s="2"/>
      <c r="J48" s="6">
        <f t="shared" si="32"/>
        <v>0</v>
      </c>
      <c r="K48" s="2"/>
      <c r="L48" s="7">
        <f t="shared" si="33"/>
        <v>0</v>
      </c>
      <c r="M48" s="2"/>
      <c r="N48" s="6">
        <f t="shared" si="34"/>
        <v>0</v>
      </c>
      <c r="O48" s="11"/>
      <c r="P48" s="7"/>
      <c r="Q48" s="2"/>
      <c r="R48" s="6">
        <f t="shared" si="35"/>
        <v>0</v>
      </c>
      <c r="S48" s="2"/>
      <c r="T48" s="7">
        <v>0</v>
      </c>
      <c r="U48" s="2"/>
      <c r="V48" s="6">
        <f t="shared" si="36"/>
        <v>0</v>
      </c>
      <c r="W48" s="2"/>
      <c r="X48" s="7">
        <f t="shared" si="37"/>
        <v>0</v>
      </c>
      <c r="Y48" s="2"/>
      <c r="Z48" s="6">
        <f t="shared" si="38"/>
        <v>0</v>
      </c>
    </row>
    <row r="49" spans="1:26" s="27" customFormat="1" outlineLevel="1" collapsed="1" x14ac:dyDescent="0.25">
      <c r="A49" s="29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SUM(OSRRefD22_4x_0)</f>
        <v>1205.6400000000001</v>
      </c>
      <c r="E49" s="1"/>
      <c r="F49" s="5">
        <f t="shared" si="31"/>
        <v>7.290600239101501E-2</v>
      </c>
      <c r="G49" s="1"/>
      <c r="H49" s="1">
        <f>SUM(OSRRefH22_4x_0)</f>
        <v>1205.6400000000001</v>
      </c>
      <c r="I49" s="1"/>
      <c r="J49" s="5">
        <f t="shared" si="32"/>
        <v>0.13241573823498401</v>
      </c>
      <c r="K49" s="1"/>
      <c r="L49" s="1">
        <f t="shared" si="33"/>
        <v>0</v>
      </c>
      <c r="M49" s="1"/>
      <c r="N49" s="5">
        <f t="shared" si="34"/>
        <v>0</v>
      </c>
      <c r="O49" s="14"/>
      <c r="P49" s="1">
        <f>SUM(OSRRefP22_4x_0)</f>
        <v>3616.92</v>
      </c>
      <c r="Q49" s="1"/>
      <c r="R49" s="5">
        <f t="shared" si="35"/>
        <v>4.82175123159342E-2</v>
      </c>
      <c r="S49" s="1"/>
      <c r="T49" s="1">
        <f>SUM(OSRRefT22_4x_0)</f>
        <v>3616.92</v>
      </c>
      <c r="U49" s="1"/>
      <c r="V49" s="5">
        <f t="shared" si="36"/>
        <v>5.8833614467826235E-2</v>
      </c>
      <c r="W49" s="1"/>
      <c r="X49" s="1">
        <f t="shared" si="37"/>
        <v>0</v>
      </c>
      <c r="Y49" s="1"/>
      <c r="Z49" s="5">
        <f t="shared" si="38"/>
        <v>0</v>
      </c>
    </row>
    <row r="50" spans="1:26" s="24" customFormat="1" hidden="1" outlineLevel="2" x14ac:dyDescent="0.25">
      <c r="A50" s="28"/>
      <c r="B50" s="11" t="str">
        <f>CONCATENATE("          ", "6351", " - ", "EQUIPMENT RENTAL")</f>
        <v xml:space="preserve">          6351 - EQUIPMENT RENTAL</v>
      </c>
      <c r="C50" s="11"/>
      <c r="D50" s="7">
        <v>1205.6400000000001</v>
      </c>
      <c r="E50" s="2"/>
      <c r="F50" s="6">
        <f t="shared" si="31"/>
        <v>7.290600239101501E-2</v>
      </c>
      <c r="G50" s="2"/>
      <c r="H50" s="7">
        <v>1205.6400000000001</v>
      </c>
      <c r="I50" s="2"/>
      <c r="J50" s="6">
        <f t="shared" si="32"/>
        <v>0.13241573823498401</v>
      </c>
      <c r="K50" s="2"/>
      <c r="L50" s="7">
        <f t="shared" si="33"/>
        <v>0</v>
      </c>
      <c r="M50" s="2"/>
      <c r="N50" s="6">
        <f t="shared" si="34"/>
        <v>0</v>
      </c>
      <c r="O50" s="11"/>
      <c r="P50" s="7">
        <v>3616.92</v>
      </c>
      <c r="Q50" s="2"/>
      <c r="R50" s="6">
        <f t="shared" si="35"/>
        <v>4.82175123159342E-2</v>
      </c>
      <c r="S50" s="2"/>
      <c r="T50" s="7">
        <v>3616.92</v>
      </c>
      <c r="U50" s="2"/>
      <c r="V50" s="6">
        <f t="shared" si="36"/>
        <v>5.8833614467826235E-2</v>
      </c>
      <c r="W50" s="2"/>
      <c r="X50" s="7">
        <f t="shared" si="37"/>
        <v>0</v>
      </c>
      <c r="Y50" s="2"/>
      <c r="Z50" s="6">
        <f t="shared" si="38"/>
        <v>0</v>
      </c>
    </row>
    <row r="51" spans="1:26" s="27" customFormat="1" outlineLevel="1" collapsed="1" x14ac:dyDescent="0.25">
      <c r="A51" s="29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SUM(OSRRefD22_5x_0)</f>
        <v>3500.9700000000012</v>
      </c>
      <c r="E51" s="1"/>
      <c r="F51" s="5">
        <f t="shared" si="31"/>
        <v>0.21170641915569482</v>
      </c>
      <c r="G51" s="1"/>
      <c r="H51" s="1">
        <f>SUM(OSRRefH22_5x_0)</f>
        <v>-6321.6000000000013</v>
      </c>
      <c r="I51" s="1"/>
      <c r="J51" s="5">
        <f t="shared" si="32"/>
        <v>-0.69430288546023278</v>
      </c>
      <c r="K51" s="1"/>
      <c r="L51" s="1">
        <f t="shared" si="33"/>
        <v>9822.5700000000033</v>
      </c>
      <c r="M51" s="1"/>
      <c r="N51" s="5">
        <f t="shared" si="34"/>
        <v>-1.5538107441154141</v>
      </c>
      <c r="O51" s="14"/>
      <c r="P51" s="1">
        <f>SUM(OSRRefP22_5x_0)</f>
        <v>-14403.119999999999</v>
      </c>
      <c r="Q51" s="1"/>
      <c r="R51" s="5">
        <f t="shared" si="35"/>
        <v>-0.19200939362437602</v>
      </c>
      <c r="S51" s="1"/>
      <c r="T51" s="1">
        <f>SUM(OSRRefT22_5x_0)</f>
        <v>-82000.679999999993</v>
      </c>
      <c r="U51" s="1"/>
      <c r="V51" s="5">
        <f t="shared" si="36"/>
        <v>-1.3338410562632264</v>
      </c>
      <c r="W51" s="1"/>
      <c r="X51" s="1">
        <f t="shared" si="37"/>
        <v>67597.56</v>
      </c>
      <c r="Y51" s="1"/>
      <c r="Z51" s="5">
        <f t="shared" si="38"/>
        <v>-0.82435365170142494</v>
      </c>
    </row>
    <row r="52" spans="1:26" s="24" customFormat="1" hidden="1" outlineLevel="2" x14ac:dyDescent="0.25">
      <c r="A52" s="28"/>
      <c r="B52" s="11" t="str">
        <f>CONCATENATE("          ", "6305", " - ", "FREIGHT OUT")</f>
        <v xml:space="preserve">          6305 - FREIGHT OUT</v>
      </c>
      <c r="C52" s="11"/>
      <c r="D52" s="7">
        <v>13197.43</v>
      </c>
      <c r="E52" s="2"/>
      <c r="F52" s="6">
        <f t="shared" si="31"/>
        <v>0.79805900860559809</v>
      </c>
      <c r="G52" s="2"/>
      <c r="H52" s="7">
        <v>5262.44</v>
      </c>
      <c r="I52" s="2"/>
      <c r="J52" s="6">
        <f t="shared" si="32"/>
        <v>0.57797508171370315</v>
      </c>
      <c r="K52" s="2"/>
      <c r="L52" s="7">
        <f t="shared" si="33"/>
        <v>7934.9900000000007</v>
      </c>
      <c r="M52" s="2"/>
      <c r="N52" s="6">
        <f t="shared" si="34"/>
        <v>1.5078537712543993</v>
      </c>
      <c r="O52" s="11"/>
      <c r="P52" s="7">
        <v>27328.74</v>
      </c>
      <c r="Q52" s="2"/>
      <c r="R52" s="6">
        <f t="shared" si="35"/>
        <v>0.36432209104126262</v>
      </c>
      <c r="S52" s="2"/>
      <c r="T52" s="7">
        <v>25040.79</v>
      </c>
      <c r="U52" s="2"/>
      <c r="V52" s="6">
        <f t="shared" si="36"/>
        <v>0.40731898544336026</v>
      </c>
      <c r="W52" s="2"/>
      <c r="X52" s="7">
        <f t="shared" si="37"/>
        <v>2287.9500000000007</v>
      </c>
      <c r="Y52" s="2"/>
      <c r="Z52" s="6">
        <f t="shared" si="38"/>
        <v>9.1368922466104327E-2</v>
      </c>
    </row>
    <row r="53" spans="1:26" s="24" customFormat="1" hidden="1" outlineLevel="2" x14ac:dyDescent="0.25">
      <c r="A53" s="28"/>
      <c r="B53" s="11" t="str">
        <f>CONCATENATE("          ", "6307", " - ", "POSTAGE")</f>
        <v xml:space="preserve">          6307 - POSTAGE</v>
      </c>
      <c r="C53" s="11"/>
      <c r="D53" s="7">
        <v>-9696.4599999999991</v>
      </c>
      <c r="E53" s="2"/>
      <c r="F53" s="6">
        <f t="shared" si="31"/>
        <v>-0.58635258944990321</v>
      </c>
      <c r="G53" s="2"/>
      <c r="H53" s="7">
        <v>-11584.04</v>
      </c>
      <c r="I53" s="2"/>
      <c r="J53" s="6">
        <f t="shared" si="32"/>
        <v>-1.2722779671739359</v>
      </c>
      <c r="K53" s="2"/>
      <c r="L53" s="7">
        <f t="shared" si="33"/>
        <v>1887.5800000000017</v>
      </c>
      <c r="M53" s="2"/>
      <c r="N53" s="6">
        <f t="shared" si="34"/>
        <v>-0.16294660584735562</v>
      </c>
      <c r="O53" s="11"/>
      <c r="P53" s="7">
        <v>-41731.86</v>
      </c>
      <c r="Q53" s="2"/>
      <c r="R53" s="6">
        <f t="shared" si="35"/>
        <v>-0.55633148466563864</v>
      </c>
      <c r="S53" s="2"/>
      <c r="T53" s="7">
        <v>-107041.47</v>
      </c>
      <c r="U53" s="2"/>
      <c r="V53" s="6">
        <f t="shared" si="36"/>
        <v>-1.7411600417065867</v>
      </c>
      <c r="W53" s="2"/>
      <c r="X53" s="7">
        <f t="shared" si="37"/>
        <v>65309.61</v>
      </c>
      <c r="Y53" s="2"/>
      <c r="Z53" s="6">
        <f t="shared" si="38"/>
        <v>-0.61013371733403887</v>
      </c>
    </row>
    <row r="54" spans="1:26" s="27" customFormat="1" outlineLevel="1" collapsed="1" x14ac:dyDescent="0.25">
      <c r="A54" s="29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SUM(OSRRefD22_6x_0)</f>
        <v>91.31</v>
      </c>
      <c r="E54" s="1"/>
      <c r="F54" s="5">
        <f t="shared" ref="F54:F58" si="39">IF(D$12=0,0,D54/D$12)</f>
        <v>5.521587769420043E-3</v>
      </c>
      <c r="G54" s="1"/>
      <c r="H54" s="1">
        <f>SUM(OSRRefH22_6x_0)</f>
        <v>0</v>
      </c>
      <c r="I54" s="1"/>
      <c r="J54" s="5">
        <f t="shared" ref="J54:J58" si="40">IF(H$12=0,0,H54/H$12)</f>
        <v>0</v>
      </c>
      <c r="K54" s="1"/>
      <c r="L54" s="1">
        <f t="shared" ref="L54:L58" si="41">+D54-H54</f>
        <v>91.31</v>
      </c>
      <c r="M54" s="1"/>
      <c r="N54" s="5">
        <f t="shared" ref="N54:N58" si="42">IF(H54=0,0,L54/H54)</f>
        <v>0</v>
      </c>
      <c r="O54" s="14"/>
      <c r="P54" s="1">
        <f>SUM(OSRRefP22_6x_0)</f>
        <v>91.31</v>
      </c>
      <c r="Q54" s="1"/>
      <c r="R54" s="5">
        <f t="shared" ref="R54:R58" si="43">IF(P$12=0,0,P54/P$12)</f>
        <v>1.2172624911714806E-3</v>
      </c>
      <c r="S54" s="1"/>
      <c r="T54" s="1">
        <f>SUM(OSRRefT22_6x_0)</f>
        <v>0</v>
      </c>
      <c r="U54" s="1"/>
      <c r="V54" s="5">
        <f t="shared" ref="V54:V58" si="44">IF(T$12=0,0,T54/T$12)</f>
        <v>0</v>
      </c>
      <c r="W54" s="1"/>
      <c r="X54" s="1">
        <f t="shared" ref="X54:X58" si="45">+P54-T54</f>
        <v>91.31</v>
      </c>
      <c r="Y54" s="1"/>
      <c r="Z54" s="5">
        <f t="shared" ref="Z54:Z58" si="46">IF(T54=0,0,X54/T54)</f>
        <v>0</v>
      </c>
    </row>
    <row r="55" spans="1:26" s="24" customFormat="1" hidden="1" outlineLevel="2" x14ac:dyDescent="0.25">
      <c r="A55" s="28"/>
      <c r="B55" s="11" t="str">
        <f>CONCATENATE("          ", "6279", " - ", "GENERAL EXPENSE")</f>
        <v xml:space="preserve">          6279 - GENERAL EXPENSE</v>
      </c>
      <c r="C55" s="11"/>
      <c r="D55" s="7">
        <v>91.31</v>
      </c>
      <c r="E55" s="2"/>
      <c r="F55" s="6">
        <f t="shared" si="39"/>
        <v>5.521587769420043E-3</v>
      </c>
      <c r="G55" s="2"/>
      <c r="H55" s="7"/>
      <c r="I55" s="2"/>
      <c r="J55" s="6">
        <f t="shared" si="40"/>
        <v>0</v>
      </c>
      <c r="K55" s="2"/>
      <c r="L55" s="7">
        <f t="shared" si="41"/>
        <v>91.31</v>
      </c>
      <c r="M55" s="2"/>
      <c r="N55" s="6">
        <f t="shared" si="42"/>
        <v>0</v>
      </c>
      <c r="O55" s="11"/>
      <c r="P55" s="7">
        <v>91.31</v>
      </c>
      <c r="Q55" s="2"/>
      <c r="R55" s="6">
        <f t="shared" si="43"/>
        <v>1.2172624911714806E-3</v>
      </c>
      <c r="S55" s="2"/>
      <c r="T55" s="7"/>
      <c r="U55" s="2"/>
      <c r="V55" s="6">
        <f t="shared" si="44"/>
        <v>0</v>
      </c>
      <c r="W55" s="2"/>
      <c r="X55" s="7">
        <f t="shared" si="45"/>
        <v>91.31</v>
      </c>
      <c r="Y55" s="2"/>
      <c r="Z55" s="6">
        <f t="shared" si="46"/>
        <v>0</v>
      </c>
    </row>
    <row r="56" spans="1:26" s="27" customFormat="1" outlineLevel="1" collapsed="1" x14ac:dyDescent="0.25">
      <c r="A56" s="29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SUM(OSRRefD22_7x_0)</f>
        <v>0</v>
      </c>
      <c r="E56" s="1"/>
      <c r="F56" s="5">
        <f t="shared" si="39"/>
        <v>0</v>
      </c>
      <c r="G56" s="1"/>
      <c r="H56" s="1">
        <f>SUM(OSRRefH22_7x_0)</f>
        <v>7243.55</v>
      </c>
      <c r="I56" s="1"/>
      <c r="J56" s="5">
        <f t="shared" si="40"/>
        <v>0.79556088110216838</v>
      </c>
      <c r="K56" s="1"/>
      <c r="L56" s="1">
        <f t="shared" si="41"/>
        <v>-7243.55</v>
      </c>
      <c r="M56" s="1"/>
      <c r="N56" s="5">
        <f t="shared" si="42"/>
        <v>-1</v>
      </c>
      <c r="O56" s="14"/>
      <c r="P56" s="1">
        <f>SUM(OSRRefP22_7x_0)</f>
        <v>4077.52</v>
      </c>
      <c r="Q56" s="1"/>
      <c r="R56" s="5">
        <f t="shared" si="43"/>
        <v>5.4357815715710606E-2</v>
      </c>
      <c r="S56" s="1"/>
      <c r="T56" s="1">
        <f>SUM(OSRRefT22_7x_0)</f>
        <v>18846.669999999998</v>
      </c>
      <c r="U56" s="1"/>
      <c r="V56" s="5">
        <f t="shared" si="44"/>
        <v>0.30656407019849663</v>
      </c>
      <c r="W56" s="1"/>
      <c r="X56" s="1">
        <f t="shared" si="45"/>
        <v>-14769.149999999998</v>
      </c>
      <c r="Y56" s="1"/>
      <c r="Z56" s="5">
        <f t="shared" si="46"/>
        <v>-0.78364772132159155</v>
      </c>
    </row>
    <row r="57" spans="1:26" s="24" customFormat="1" hidden="1" outlineLevel="2" x14ac:dyDescent="0.25">
      <c r="A57" s="28"/>
      <c r="B57" s="11" t="str">
        <f>CONCATENATE("          ", "6373", " - ", "MAINTENANCE CONTRACTS")</f>
        <v xml:space="preserve">          6373 - MAINTENANCE CONTRACTS</v>
      </c>
      <c r="C57" s="11"/>
      <c r="D57" s="7"/>
      <c r="E57" s="2"/>
      <c r="F57" s="6">
        <f t="shared" si="39"/>
        <v>0</v>
      </c>
      <c r="G57" s="2"/>
      <c r="H57" s="7">
        <v>7243.55</v>
      </c>
      <c r="I57" s="2"/>
      <c r="J57" s="6">
        <f t="shared" si="40"/>
        <v>0.79556088110216838</v>
      </c>
      <c r="K57" s="2"/>
      <c r="L57" s="7">
        <f t="shared" si="41"/>
        <v>-7243.55</v>
      </c>
      <c r="M57" s="2"/>
      <c r="N57" s="6">
        <f t="shared" si="42"/>
        <v>-1</v>
      </c>
      <c r="O57" s="11"/>
      <c r="P57" s="7">
        <v>681.08</v>
      </c>
      <c r="Q57" s="2"/>
      <c r="R57" s="6">
        <f t="shared" si="43"/>
        <v>9.079543724532603E-3</v>
      </c>
      <c r="S57" s="2"/>
      <c r="T57" s="7">
        <v>18846.669999999998</v>
      </c>
      <c r="U57" s="2"/>
      <c r="V57" s="6">
        <f t="shared" si="44"/>
        <v>0.30656407019849663</v>
      </c>
      <c r="W57" s="2"/>
      <c r="X57" s="7">
        <f t="shared" si="45"/>
        <v>-18165.589999999997</v>
      </c>
      <c r="Y57" s="2"/>
      <c r="Z57" s="6">
        <f t="shared" si="46"/>
        <v>-0.9638620509617879</v>
      </c>
    </row>
    <row r="58" spans="1:26" s="24" customFormat="1" hidden="1" outlineLevel="2" x14ac:dyDescent="0.25">
      <c r="A58" s="28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39"/>
        <v>0</v>
      </c>
      <c r="G58" s="2"/>
      <c r="H58" s="7"/>
      <c r="I58" s="2"/>
      <c r="J58" s="6">
        <f t="shared" si="40"/>
        <v>0</v>
      </c>
      <c r="K58" s="2"/>
      <c r="L58" s="7">
        <f t="shared" si="41"/>
        <v>0</v>
      </c>
      <c r="M58" s="2"/>
      <c r="N58" s="6">
        <f t="shared" si="42"/>
        <v>0</v>
      </c>
      <c r="O58" s="11"/>
      <c r="P58" s="7">
        <v>3396.44</v>
      </c>
      <c r="Q58" s="2"/>
      <c r="R58" s="6">
        <f t="shared" si="43"/>
        <v>4.5278271991178003E-2</v>
      </c>
      <c r="S58" s="2"/>
      <c r="T58" s="7"/>
      <c r="U58" s="2"/>
      <c r="V58" s="6">
        <f t="shared" si="44"/>
        <v>0</v>
      </c>
      <c r="W58" s="2"/>
      <c r="X58" s="7">
        <f t="shared" si="45"/>
        <v>3396.44</v>
      </c>
      <c r="Y58" s="2"/>
      <c r="Z58" s="6">
        <f t="shared" si="46"/>
        <v>0</v>
      </c>
    </row>
    <row r="59" spans="1:26" s="27" customFormat="1" outlineLevel="1" collapsed="1" x14ac:dyDescent="0.25">
      <c r="A59" s="29"/>
      <c r="B59" s="14" t="str">
        <f>CONCATENATE("     ","Royalty &amp; Commissions                             ")</f>
        <v xml:space="preserve">     Royalty &amp; Commissions                             </v>
      </c>
      <c r="C59" s="14"/>
      <c r="D59" s="1">
        <f>SUM(OSRRefD22_8x_0)</f>
        <v>1174.22</v>
      </c>
      <c r="E59" s="1"/>
      <c r="F59" s="5">
        <f t="shared" ref="F59:F66" si="47">IF(D$12=0,0,D59/D$12)</f>
        <v>7.1006010191746821E-2</v>
      </c>
      <c r="G59" s="1"/>
      <c r="H59" s="1">
        <f>SUM(OSRRefH22_8x_0)</f>
        <v>62.6</v>
      </c>
      <c r="I59" s="1"/>
      <c r="J59" s="5">
        <f t="shared" ref="J59:J66" si="48">IF(H$12=0,0,H59/H$12)</f>
        <v>6.8753734228376613E-3</v>
      </c>
      <c r="K59" s="1"/>
      <c r="L59" s="1">
        <f t="shared" ref="L59:L66" si="49">+D59-H59</f>
        <v>1111.6200000000001</v>
      </c>
      <c r="M59" s="1"/>
      <c r="N59" s="5">
        <f t="shared" ref="N59:N66" si="50">IF(H59=0,0,L59/H59)</f>
        <v>17.75750798722045</v>
      </c>
      <c r="O59" s="14"/>
      <c r="P59" s="1">
        <f>SUM(OSRRefP22_8x_0)</f>
        <v>1782.17</v>
      </c>
      <c r="Q59" s="1"/>
      <c r="R59" s="5">
        <f t="shared" ref="R59:R66" si="51">IF(P$12=0,0,P59/P$12)</f>
        <v>2.3758281610897793E-2</v>
      </c>
      <c r="S59" s="1"/>
      <c r="T59" s="1">
        <f>SUM(OSRRefT22_8x_0)</f>
        <v>5384.8</v>
      </c>
      <c r="U59" s="1"/>
      <c r="V59" s="5">
        <f t="shared" ref="V59:V66" si="52">IF(T$12=0,0,T59/T$12)</f>
        <v>8.7590338516293068E-2</v>
      </c>
      <c r="W59" s="1"/>
      <c r="X59" s="1">
        <f t="shared" ref="X59:X66" si="53">+P59-T59</f>
        <v>-3602.63</v>
      </c>
      <c r="Y59" s="1"/>
      <c r="Z59" s="5">
        <f t="shared" ref="Z59:Z66" si="54">IF(T59=0,0,X59/T59)</f>
        <v>-0.66903691873421478</v>
      </c>
    </row>
    <row r="60" spans="1:26" s="24" customFormat="1" hidden="1" outlineLevel="2" x14ac:dyDescent="0.25">
      <c r="A60" s="28"/>
      <c r="B60" s="11" t="str">
        <f>CONCATENATE("          ", "6259", " - ", "ROYALTY &amp; COMMISSIONS")</f>
        <v xml:space="preserve">          6259 - ROYALTY &amp; COMMISSIONS</v>
      </c>
      <c r="C60" s="11"/>
      <c r="D60" s="7">
        <v>1174.22</v>
      </c>
      <c r="E60" s="2"/>
      <c r="F60" s="6">
        <f t="shared" si="47"/>
        <v>7.1006010191746821E-2</v>
      </c>
      <c r="G60" s="2"/>
      <c r="H60" s="7">
        <v>62.6</v>
      </c>
      <c r="I60" s="2"/>
      <c r="J60" s="6">
        <f t="shared" si="48"/>
        <v>6.8753734228376613E-3</v>
      </c>
      <c r="K60" s="2"/>
      <c r="L60" s="7">
        <f t="shared" si="49"/>
        <v>1111.6200000000001</v>
      </c>
      <c r="M60" s="2"/>
      <c r="N60" s="6">
        <f t="shared" si="50"/>
        <v>17.75750798722045</v>
      </c>
      <c r="O60" s="11"/>
      <c r="P60" s="7">
        <v>1782.17</v>
      </c>
      <c r="Q60" s="2"/>
      <c r="R60" s="6">
        <f t="shared" si="51"/>
        <v>2.3758281610897793E-2</v>
      </c>
      <c r="S60" s="2"/>
      <c r="T60" s="7">
        <v>5384.8</v>
      </c>
      <c r="U60" s="2"/>
      <c r="V60" s="6">
        <f t="shared" si="52"/>
        <v>8.7590338516293068E-2</v>
      </c>
      <c r="W60" s="2"/>
      <c r="X60" s="7">
        <f t="shared" si="53"/>
        <v>-3602.63</v>
      </c>
      <c r="Y60" s="2"/>
      <c r="Z60" s="6">
        <f t="shared" si="54"/>
        <v>-0.66903691873421478</v>
      </c>
    </row>
    <row r="61" spans="1:26" s="27" customFormat="1" outlineLevel="1" collapsed="1" x14ac:dyDescent="0.25">
      <c r="A61" s="29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SUM(OSRRefD22_9x_0)</f>
        <v>2879.46</v>
      </c>
      <c r="E61" s="1"/>
      <c r="F61" s="5">
        <f t="shared" si="47"/>
        <v>0.17412321890849017</v>
      </c>
      <c r="G61" s="1"/>
      <c r="H61" s="1">
        <f>SUM(OSRRefH22_9x_0)</f>
        <v>10677.67</v>
      </c>
      <c r="I61" s="1"/>
      <c r="J61" s="5">
        <f t="shared" si="48"/>
        <v>1.1727311267704634</v>
      </c>
      <c r="K61" s="1"/>
      <c r="L61" s="1">
        <f t="shared" si="49"/>
        <v>-7798.21</v>
      </c>
      <c r="M61" s="1"/>
      <c r="N61" s="5">
        <f t="shared" si="50"/>
        <v>-0.73032880768931796</v>
      </c>
      <c r="O61" s="14"/>
      <c r="P61" s="1">
        <f>SUM(OSRRefP22_9x_0)</f>
        <v>13039.11</v>
      </c>
      <c r="Q61" s="1"/>
      <c r="R61" s="5">
        <f t="shared" si="51"/>
        <v>0.17382564364537251</v>
      </c>
      <c r="S61" s="1"/>
      <c r="T61" s="1">
        <f>SUM(OSRRefT22_9x_0)</f>
        <v>19608.690000000002</v>
      </c>
      <c r="U61" s="1"/>
      <c r="V61" s="5">
        <f t="shared" si="52"/>
        <v>0.31895925474688952</v>
      </c>
      <c r="W61" s="1"/>
      <c r="X61" s="1">
        <f t="shared" si="53"/>
        <v>-6569.5800000000017</v>
      </c>
      <c r="Y61" s="1"/>
      <c r="Z61" s="5">
        <f t="shared" si="54"/>
        <v>-0.33503410987679449</v>
      </c>
    </row>
    <row r="62" spans="1:26" s="24" customFormat="1" hidden="1" outlineLevel="2" x14ac:dyDescent="0.25">
      <c r="A62" s="28"/>
      <c r="B62" s="11" t="str">
        <f>CONCATENATE("          ", "6235", " - ", "COVID-19 EXPENSES")</f>
        <v xml:space="preserve">          6235 - COVID-19 EXPENSES</v>
      </c>
      <c r="C62" s="11"/>
      <c r="D62" s="7"/>
      <c r="E62" s="2"/>
      <c r="F62" s="6">
        <f t="shared" si="47"/>
        <v>0</v>
      </c>
      <c r="G62" s="2"/>
      <c r="H62" s="7"/>
      <c r="I62" s="2"/>
      <c r="J62" s="6">
        <f t="shared" si="48"/>
        <v>0</v>
      </c>
      <c r="K62" s="2"/>
      <c r="L62" s="7">
        <f t="shared" si="49"/>
        <v>0</v>
      </c>
      <c r="M62" s="2"/>
      <c r="N62" s="6">
        <f t="shared" si="50"/>
        <v>0</v>
      </c>
      <c r="O62" s="11"/>
      <c r="P62" s="7"/>
      <c r="Q62" s="2"/>
      <c r="R62" s="6">
        <f t="shared" si="51"/>
        <v>0</v>
      </c>
      <c r="S62" s="2"/>
      <c r="T62" s="7">
        <v>310.91000000000003</v>
      </c>
      <c r="U62" s="2"/>
      <c r="V62" s="6">
        <f t="shared" si="52"/>
        <v>5.057330290465881E-3</v>
      </c>
      <c r="W62" s="2"/>
      <c r="X62" s="7">
        <f t="shared" si="53"/>
        <v>-310.91000000000003</v>
      </c>
      <c r="Y62" s="2"/>
      <c r="Z62" s="6">
        <f t="shared" si="54"/>
        <v>-1</v>
      </c>
    </row>
    <row r="63" spans="1:26" s="24" customFormat="1" hidden="1" outlineLevel="2" x14ac:dyDescent="0.25">
      <c r="A63" s="28"/>
      <c r="B63" s="11" t="str">
        <f>CONCATENATE("          ", "6241", " - ", "OFFICE EXPENSE")</f>
        <v xml:space="preserve">          6241 - OFFICE EXPENSE</v>
      </c>
      <c r="C63" s="11"/>
      <c r="D63" s="7">
        <v>2.19</v>
      </c>
      <c r="E63" s="2"/>
      <c r="F63" s="6">
        <f t="shared" si="47"/>
        <v>1.3243102852951368E-4</v>
      </c>
      <c r="G63" s="2"/>
      <c r="H63" s="7">
        <v>4590.26</v>
      </c>
      <c r="I63" s="2"/>
      <c r="J63" s="6">
        <f t="shared" si="48"/>
        <v>0.50414938670790421</v>
      </c>
      <c r="K63" s="2"/>
      <c r="L63" s="7">
        <f t="shared" si="49"/>
        <v>-4588.0700000000006</v>
      </c>
      <c r="M63" s="2"/>
      <c r="N63" s="6">
        <f t="shared" si="50"/>
        <v>-0.99952290284210488</v>
      </c>
      <c r="O63" s="11"/>
      <c r="P63" s="7">
        <v>4831.75</v>
      </c>
      <c r="Q63" s="2"/>
      <c r="R63" s="6">
        <f t="shared" si="51"/>
        <v>6.4412529205101321E-2</v>
      </c>
      <c r="S63" s="2"/>
      <c r="T63" s="7">
        <v>4590.26</v>
      </c>
      <c r="U63" s="2"/>
      <c r="V63" s="6">
        <f t="shared" si="52"/>
        <v>7.466617651125379E-2</v>
      </c>
      <c r="W63" s="2"/>
      <c r="X63" s="7">
        <f t="shared" si="53"/>
        <v>241.48999999999978</v>
      </c>
      <c r="Y63" s="2"/>
      <c r="Z63" s="6">
        <f t="shared" si="54"/>
        <v>5.2609220392744585E-2</v>
      </c>
    </row>
    <row r="64" spans="1:26" s="24" customFormat="1" hidden="1" outlineLevel="2" x14ac:dyDescent="0.25">
      <c r="A64" s="28"/>
      <c r="B64" s="11" t="str">
        <f>CONCATENATE("          ", "6243", " - ", "PAPER SUPPLIES")</f>
        <v xml:space="preserve">          6243 - PAPER SUPPLIES</v>
      </c>
      <c r="C64" s="11"/>
      <c r="D64" s="7"/>
      <c r="E64" s="2"/>
      <c r="F64" s="6">
        <f t="shared" si="47"/>
        <v>0</v>
      </c>
      <c r="G64" s="2"/>
      <c r="H64" s="7"/>
      <c r="I64" s="2"/>
      <c r="J64" s="6">
        <f t="shared" si="48"/>
        <v>0</v>
      </c>
      <c r="K64" s="2"/>
      <c r="L64" s="7">
        <f t="shared" si="49"/>
        <v>0</v>
      </c>
      <c r="M64" s="2"/>
      <c r="N64" s="6">
        <f t="shared" si="50"/>
        <v>0</v>
      </c>
      <c r="O64" s="11"/>
      <c r="P64" s="7">
        <v>3450.92</v>
      </c>
      <c r="Q64" s="2"/>
      <c r="R64" s="6">
        <f t="shared" si="51"/>
        <v>4.6004550170118126E-2</v>
      </c>
      <c r="S64" s="2"/>
      <c r="T64" s="7">
        <v>3124.69</v>
      </c>
      <c r="U64" s="2"/>
      <c r="V64" s="6">
        <f t="shared" si="52"/>
        <v>5.082689326594781E-2</v>
      </c>
      <c r="W64" s="2"/>
      <c r="X64" s="7">
        <f t="shared" si="53"/>
        <v>326.23</v>
      </c>
      <c r="Y64" s="2"/>
      <c r="Z64" s="6">
        <f t="shared" si="54"/>
        <v>0.10440395687252176</v>
      </c>
    </row>
    <row r="65" spans="1:26" s="24" customFormat="1" hidden="1" outlineLevel="2" x14ac:dyDescent="0.25">
      <c r="A65" s="28"/>
      <c r="B65" s="11" t="str">
        <f>CONCATENATE("          ", "6245", " - ", "PRINTING")</f>
        <v xml:space="preserve">          6245 - PRINTING</v>
      </c>
      <c r="C65" s="11"/>
      <c r="D65" s="7">
        <v>276.43</v>
      </c>
      <c r="E65" s="2"/>
      <c r="F65" s="6">
        <f t="shared" si="47"/>
        <v>1.6715940281467338E-2</v>
      </c>
      <c r="G65" s="2"/>
      <c r="H65" s="7">
        <v>288.3</v>
      </c>
      <c r="I65" s="2"/>
      <c r="J65" s="6">
        <f t="shared" si="48"/>
        <v>3.1664060028819455E-2</v>
      </c>
      <c r="K65" s="2"/>
      <c r="L65" s="7">
        <f t="shared" si="49"/>
        <v>-11.870000000000005</v>
      </c>
      <c r="M65" s="2"/>
      <c r="N65" s="6">
        <f t="shared" si="50"/>
        <v>-4.1172389871661476E-2</v>
      </c>
      <c r="O65" s="11"/>
      <c r="P65" s="7">
        <v>-659.07</v>
      </c>
      <c r="Q65" s="2"/>
      <c r="R65" s="6">
        <f t="shared" si="51"/>
        <v>-8.7861262737530151E-3</v>
      </c>
      <c r="S65" s="2"/>
      <c r="T65" s="7">
        <v>-7.2</v>
      </c>
      <c r="U65" s="2"/>
      <c r="V65" s="6">
        <f t="shared" si="52"/>
        <v>-1.1711678006932663E-4</v>
      </c>
      <c r="W65" s="2"/>
      <c r="X65" s="7">
        <f t="shared" si="53"/>
        <v>-651.87</v>
      </c>
      <c r="Y65" s="2"/>
      <c r="Z65" s="6">
        <f t="shared" si="54"/>
        <v>90.537499999999994</v>
      </c>
    </row>
    <row r="66" spans="1:26" s="24" customFormat="1" hidden="1" outlineLevel="2" x14ac:dyDescent="0.25">
      <c r="A66" s="28"/>
      <c r="B66" s="11" t="str">
        <f>CONCATENATE("          ", "6247", " - ", "STORE SUPPLIES")</f>
        <v xml:space="preserve">          6247 - STORE SUPPLIES</v>
      </c>
      <c r="C66" s="11"/>
      <c r="D66" s="7">
        <v>2600.84</v>
      </c>
      <c r="E66" s="2"/>
      <c r="F66" s="6">
        <f t="shared" si="47"/>
        <v>0.15727484759849333</v>
      </c>
      <c r="G66" s="2"/>
      <c r="H66" s="7">
        <v>5799.11</v>
      </c>
      <c r="I66" s="2"/>
      <c r="J66" s="6">
        <f t="shared" si="48"/>
        <v>0.63691768003373972</v>
      </c>
      <c r="K66" s="2"/>
      <c r="L66" s="7">
        <f t="shared" si="49"/>
        <v>-3198.2699999999995</v>
      </c>
      <c r="M66" s="2"/>
      <c r="N66" s="6">
        <f t="shared" si="50"/>
        <v>-0.55151049040283762</v>
      </c>
      <c r="O66" s="11"/>
      <c r="P66" s="7">
        <v>5415.51</v>
      </c>
      <c r="Q66" s="2"/>
      <c r="R66" s="6">
        <f t="shared" si="51"/>
        <v>7.2194690543906093E-2</v>
      </c>
      <c r="S66" s="2"/>
      <c r="T66" s="7">
        <v>11590.03</v>
      </c>
      <c r="U66" s="2"/>
      <c r="V66" s="6">
        <f t="shared" si="52"/>
        <v>0.18852597145929137</v>
      </c>
      <c r="W66" s="2"/>
      <c r="X66" s="7">
        <f t="shared" si="53"/>
        <v>-6174.52</v>
      </c>
      <c r="Y66" s="2"/>
      <c r="Z66" s="6">
        <f t="shared" si="54"/>
        <v>-0.5327440912577448</v>
      </c>
    </row>
    <row r="67" spans="1:26" s="27" customFormat="1" outlineLevel="1" collapsed="1" x14ac:dyDescent="0.25">
      <c r="A67" s="29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SUM(OSRRefD22_10x_0)</f>
        <v>159.4</v>
      </c>
      <c r="E67" s="1"/>
      <c r="F67" s="5">
        <f t="shared" ref="F67:F70" si="55">IF(D$12=0,0,D67/D$12)</f>
        <v>9.6390438116915438E-3</v>
      </c>
      <c r="G67" s="1"/>
      <c r="H67" s="1">
        <f>SUM(OSRRefH22_10x_0)</f>
        <v>265</v>
      </c>
      <c r="I67" s="1"/>
      <c r="J67" s="5">
        <f t="shared" ref="J67:J70" si="56">IF(H$12=0,0,H67/H$12)</f>
        <v>2.9105015288370291E-2</v>
      </c>
      <c r="K67" s="1"/>
      <c r="L67" s="1">
        <f t="shared" ref="L67:L70" si="57">+D67-H67</f>
        <v>-105.6</v>
      </c>
      <c r="M67" s="1"/>
      <c r="N67" s="5">
        <f t="shared" ref="N67:N70" si="58">IF(H67=0,0,L67/H67)</f>
        <v>-0.3984905660377358</v>
      </c>
      <c r="O67" s="14"/>
      <c r="P67" s="1">
        <f>SUM(OSRRefP22_10x_0)</f>
        <v>486.7</v>
      </c>
      <c r="Q67" s="1"/>
      <c r="R67" s="5">
        <f t="shared" ref="R67:R70" si="59">IF(P$12=0,0,P67/P$12)</f>
        <v>6.4882450383655635E-3</v>
      </c>
      <c r="S67" s="1"/>
      <c r="T67" s="1">
        <f>SUM(OSRRefT22_10x_0)</f>
        <v>665.75</v>
      </c>
      <c r="U67" s="1"/>
      <c r="V67" s="5">
        <f t="shared" ref="V67:V70" si="60">IF(T$12=0,0,T67/T$12)</f>
        <v>1.0829235601549195E-2</v>
      </c>
      <c r="W67" s="1"/>
      <c r="X67" s="1">
        <f t="shared" ref="X67:X70" si="61">+P67-T67</f>
        <v>-179.05</v>
      </c>
      <c r="Y67" s="1"/>
      <c r="Z67" s="5">
        <f t="shared" ref="Z67:Z70" si="62">IF(T67=0,0,X67/T67)</f>
        <v>-0.26894479909876079</v>
      </c>
    </row>
    <row r="68" spans="1:26" s="24" customFormat="1" hidden="1" outlineLevel="2" x14ac:dyDescent="0.25">
      <c r="A68" s="28"/>
      <c r="B68" s="11" t="str">
        <f>CONCATENATE("          ", "6309", " - ", "TELEPHONE")</f>
        <v xml:space="preserve">          6309 - TELEPHONE</v>
      </c>
      <c r="C68" s="11"/>
      <c r="D68" s="7">
        <v>159.4</v>
      </c>
      <c r="E68" s="2"/>
      <c r="F68" s="6">
        <f t="shared" si="55"/>
        <v>9.6390438116915438E-3</v>
      </c>
      <c r="G68" s="2"/>
      <c r="H68" s="7">
        <v>265</v>
      </c>
      <c r="I68" s="2"/>
      <c r="J68" s="6">
        <f t="shared" si="56"/>
        <v>2.9105015288370291E-2</v>
      </c>
      <c r="K68" s="2"/>
      <c r="L68" s="7">
        <f t="shared" si="57"/>
        <v>-105.6</v>
      </c>
      <c r="M68" s="2"/>
      <c r="N68" s="6">
        <f t="shared" si="58"/>
        <v>-0.3984905660377358</v>
      </c>
      <c r="O68" s="11"/>
      <c r="P68" s="7">
        <v>486.7</v>
      </c>
      <c r="Q68" s="2"/>
      <c r="R68" s="6">
        <f t="shared" si="59"/>
        <v>6.4882450383655635E-3</v>
      </c>
      <c r="S68" s="2"/>
      <c r="T68" s="7">
        <v>665.75</v>
      </c>
      <c r="U68" s="2"/>
      <c r="V68" s="6">
        <f t="shared" si="60"/>
        <v>1.0829235601549195E-2</v>
      </c>
      <c r="W68" s="2"/>
      <c r="X68" s="7">
        <f t="shared" si="61"/>
        <v>-179.05</v>
      </c>
      <c r="Y68" s="2"/>
      <c r="Z68" s="6">
        <f t="shared" si="62"/>
        <v>-0.26894479909876079</v>
      </c>
    </row>
    <row r="69" spans="1:26" s="27" customFormat="1" outlineLevel="1" collapsed="1" x14ac:dyDescent="0.25">
      <c r="A69" s="29"/>
      <c r="B69" s="14" t="str">
        <f>CONCATENATE("     ","Utilities                                         ")</f>
        <v xml:space="preserve">     Utilities                                         </v>
      </c>
      <c r="C69" s="14"/>
      <c r="D69" s="1">
        <f>SUM(OSRRefD22_11x_0)</f>
        <v>0</v>
      </c>
      <c r="E69" s="1"/>
      <c r="F69" s="5">
        <f t="shared" si="55"/>
        <v>0</v>
      </c>
      <c r="G69" s="1"/>
      <c r="H69" s="1">
        <f>SUM(OSRRefH22_11x_0)</f>
        <v>0</v>
      </c>
      <c r="I69" s="1"/>
      <c r="J69" s="5">
        <f t="shared" si="56"/>
        <v>0</v>
      </c>
      <c r="K69" s="1"/>
      <c r="L69" s="1">
        <f t="shared" si="57"/>
        <v>0</v>
      </c>
      <c r="M69" s="1"/>
      <c r="N69" s="5">
        <f t="shared" si="58"/>
        <v>0</v>
      </c>
      <c r="O69" s="14"/>
      <c r="P69" s="1">
        <f>SUM(OSRRefP22_11x_0)</f>
        <v>0</v>
      </c>
      <c r="Q69" s="1"/>
      <c r="R69" s="5">
        <f t="shared" si="59"/>
        <v>0</v>
      </c>
      <c r="S69" s="1"/>
      <c r="T69" s="1">
        <f>SUM(OSRRefT22_11x_0)</f>
        <v>15.02</v>
      </c>
      <c r="U69" s="1"/>
      <c r="V69" s="5">
        <f t="shared" si="60"/>
        <v>2.443186162001786E-4</v>
      </c>
      <c r="W69" s="1"/>
      <c r="X69" s="1">
        <f t="shared" si="61"/>
        <v>-15.02</v>
      </c>
      <c r="Y69" s="1"/>
      <c r="Z69" s="5">
        <f t="shared" si="62"/>
        <v>-1</v>
      </c>
    </row>
    <row r="70" spans="1:26" s="24" customFormat="1" hidden="1" outlineLevel="2" x14ac:dyDescent="0.25">
      <c r="A70" s="28"/>
      <c r="B70" s="11" t="str">
        <f>CONCATENATE("          ", "6274", " - ", "UTILITIES")</f>
        <v xml:space="preserve">          6274 - UTILITIES</v>
      </c>
      <c r="C70" s="11"/>
      <c r="D70" s="7"/>
      <c r="E70" s="2"/>
      <c r="F70" s="6">
        <f t="shared" si="55"/>
        <v>0</v>
      </c>
      <c r="G70" s="2"/>
      <c r="H70" s="7"/>
      <c r="I70" s="2"/>
      <c r="J70" s="6">
        <f t="shared" si="56"/>
        <v>0</v>
      </c>
      <c r="K70" s="2"/>
      <c r="L70" s="7">
        <f t="shared" si="57"/>
        <v>0</v>
      </c>
      <c r="M70" s="2"/>
      <c r="N70" s="6">
        <f t="shared" si="58"/>
        <v>0</v>
      </c>
      <c r="O70" s="11"/>
      <c r="P70" s="7"/>
      <c r="Q70" s="2"/>
      <c r="R70" s="6">
        <f t="shared" si="59"/>
        <v>0</v>
      </c>
      <c r="S70" s="2"/>
      <c r="T70" s="7">
        <v>15.02</v>
      </c>
      <c r="U70" s="2"/>
      <c r="V70" s="6">
        <f t="shared" si="60"/>
        <v>2.443186162001786E-4</v>
      </c>
      <c r="W70" s="2"/>
      <c r="X70" s="7">
        <f t="shared" si="61"/>
        <v>-15.02</v>
      </c>
      <c r="Y70" s="2"/>
      <c r="Z70" s="6">
        <f t="shared" si="62"/>
        <v>-1</v>
      </c>
    </row>
    <row r="71" spans="1:26" s="54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6" t="s">
        <v>292</v>
      </c>
      <c r="C72" s="10"/>
      <c r="D72" s="4">
        <f>SUM(OSRRefD25x_0)</f>
        <v>14899</v>
      </c>
      <c r="E72" s="4"/>
      <c r="F72" s="12">
        <f t="shared" ref="F72:F74" si="63">IF(D$12=0,0,D72/D$12)</f>
        <v>0.90095428952567314</v>
      </c>
      <c r="G72" s="4"/>
      <c r="H72" s="4">
        <f>SUM(OSRRefH25x_0)</f>
        <v>6782</v>
      </c>
      <c r="I72" s="4"/>
      <c r="J72" s="12">
        <f t="shared" ref="J72:J74" si="64">IF(H$12=0,0,H72/H$12)</f>
        <v>0.74486873088953709</v>
      </c>
      <c r="K72" s="4"/>
      <c r="L72" s="4">
        <f t="shared" ref="L72:L74" si="65">+D72-H72</f>
        <v>8117</v>
      </c>
      <c r="M72" s="4"/>
      <c r="N72" s="12">
        <f t="shared" ref="N72:N74" si="66">IF(H72=0,0,L72/H72)</f>
        <v>1.1968445886169272</v>
      </c>
      <c r="O72" s="10"/>
      <c r="P72" s="4">
        <f>SUM(OSRRefP25x_0)</f>
        <v>14899</v>
      </c>
      <c r="Q72" s="4"/>
      <c r="R72" s="12">
        <f t="shared" ref="R72:R74" si="67">IF(P$12=0,0,P72/P$12)</f>
        <v>0.19862001813562469</v>
      </c>
      <c r="S72" s="4"/>
      <c r="T72" s="4">
        <f>SUM(OSRRefT25x_0)</f>
        <v>20346</v>
      </c>
      <c r="U72" s="4"/>
      <c r="V72" s="12">
        <f t="shared" ref="V72:V74" si="68">IF(T$12=0,0,T72/T$12)</f>
        <v>0.33095250101257218</v>
      </c>
      <c r="W72" s="4"/>
      <c r="X72" s="4">
        <f t="shared" ref="X72:X74" si="69">+P72-T72</f>
        <v>-5447</v>
      </c>
      <c r="Y72" s="4"/>
      <c r="Z72" s="12">
        <f t="shared" ref="Z72:Z74" si="70">IF(T72=0,0,X72/T72)</f>
        <v>-0.26771847046102426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--14899</f>
        <v>14899</v>
      </c>
      <c r="E73" s="2"/>
      <c r="F73" s="19">
        <f t="shared" si="63"/>
        <v>0.90095428952567314</v>
      </c>
      <c r="G73" s="2"/>
      <c r="H73" s="2">
        <f>--6782</f>
        <v>6782</v>
      </c>
      <c r="I73" s="2"/>
      <c r="J73" s="19">
        <f t="shared" si="64"/>
        <v>0.74486873088953709</v>
      </c>
      <c r="K73" s="2"/>
      <c r="L73" s="2">
        <f t="shared" si="65"/>
        <v>8117</v>
      </c>
      <c r="M73" s="2"/>
      <c r="N73" s="19">
        <f t="shared" si="66"/>
        <v>1.1968445886169272</v>
      </c>
      <c r="O73" s="11"/>
      <c r="P73" s="2">
        <f>--14899</f>
        <v>14899</v>
      </c>
      <c r="Q73" s="2"/>
      <c r="R73" s="19">
        <f t="shared" si="67"/>
        <v>0.19862001813562469</v>
      </c>
      <c r="S73" s="2"/>
      <c r="T73" s="2">
        <f>--20346</f>
        <v>20346</v>
      </c>
      <c r="U73" s="2"/>
      <c r="V73" s="19">
        <f t="shared" si="68"/>
        <v>0.33095250101257218</v>
      </c>
      <c r="W73" s="2"/>
      <c r="X73" s="2">
        <f t="shared" si="69"/>
        <v>-5447</v>
      </c>
      <c r="Y73" s="2"/>
      <c r="Z73" s="19">
        <f t="shared" si="70"/>
        <v>-0.26771847046102426</v>
      </c>
    </row>
    <row r="74" spans="1:26" s="24" customFormat="1" hidden="1" outlineLevel="1" x14ac:dyDescent="0.25">
      <c r="A74" s="44"/>
      <c r="B74" s="11" t="str">
        <f>CONCATENATE("          ", "9163", " - ", "MISC. INCOME")</f>
        <v xml:space="preserve">          9163 - MISC. INCOME</v>
      </c>
      <c r="C74" s="11"/>
      <c r="D74" s="2">
        <f>0</f>
        <v>0</v>
      </c>
      <c r="E74" s="2"/>
      <c r="F74" s="19">
        <f t="shared" si="63"/>
        <v>0</v>
      </c>
      <c r="G74" s="2"/>
      <c r="H74" s="2">
        <f>0</f>
        <v>0</v>
      </c>
      <c r="I74" s="2"/>
      <c r="J74" s="19">
        <f t="shared" si="64"/>
        <v>0</v>
      </c>
      <c r="K74" s="2"/>
      <c r="L74" s="2">
        <f t="shared" si="65"/>
        <v>0</v>
      </c>
      <c r="M74" s="2"/>
      <c r="N74" s="19">
        <f t="shared" si="66"/>
        <v>0</v>
      </c>
      <c r="O74" s="11"/>
      <c r="P74" s="2">
        <f>0</f>
        <v>0</v>
      </c>
      <c r="Q74" s="2"/>
      <c r="R74" s="19">
        <f t="shared" si="67"/>
        <v>0</v>
      </c>
      <c r="S74" s="2"/>
      <c r="T74" s="2">
        <f>0</f>
        <v>0</v>
      </c>
      <c r="U74" s="2"/>
      <c r="V74" s="19">
        <f t="shared" si="68"/>
        <v>0</v>
      </c>
      <c r="W74" s="2"/>
      <c r="X74" s="2">
        <f t="shared" si="69"/>
        <v>0</v>
      </c>
      <c r="Y74" s="2"/>
      <c r="Z74" s="19">
        <f t="shared" si="70"/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5" t="s">
        <v>276</v>
      </c>
      <c r="C76" s="25"/>
      <c r="D76" s="21">
        <f>+D29-D31+D72</f>
        <v>-3127.9000000000051</v>
      </c>
      <c r="E76" s="13"/>
      <c r="F76" s="22">
        <f>IF(D$12=0,0,D76/D$12)</f>
        <v>-0.18914658179792992</v>
      </c>
      <c r="G76" s="13"/>
      <c r="H76" s="21">
        <f>+H29-H31+H72</f>
        <v>-22426.079999999994</v>
      </c>
      <c r="I76" s="13"/>
      <c r="J76" s="22">
        <f>IF(H$12=0,0,H76/H$12)</f>
        <v>-2.4630618915404341</v>
      </c>
      <c r="K76" s="16"/>
      <c r="L76" s="21">
        <f>+D76-H76</f>
        <v>19298.179999999989</v>
      </c>
      <c r="M76" s="16"/>
      <c r="N76" s="22">
        <f>IF(H76=0,0,L76/H76)</f>
        <v>-0.86052399706056493</v>
      </c>
      <c r="O76" s="26"/>
      <c r="P76" s="21">
        <f>+P29-P31+P72</f>
        <v>-149.51999999997497</v>
      </c>
      <c r="Q76" s="13"/>
      <c r="R76" s="22">
        <f>IF(P$12=0,0,P76/P$12)</f>
        <v>-1.9932656629058076E-3</v>
      </c>
      <c r="S76" s="13"/>
      <c r="T76" s="21">
        <f>+T29-T31+T72</f>
        <v>44766.720000000023</v>
      </c>
      <c r="U76" s="13"/>
      <c r="V76" s="22">
        <f>IF(T$12=0,0,T76/T$12)</f>
        <v>0.72818529175904567</v>
      </c>
      <c r="W76" s="16"/>
      <c r="X76" s="21">
        <f>+P76-T76</f>
        <v>-44916.24</v>
      </c>
      <c r="Y76" s="16"/>
      <c r="Z76" s="22">
        <f>IF(T76=0,0,X76/T76)</f>
        <v>-1.0033399811288379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1"/>
      <c r="B78" s="10" t="s">
        <v>127</v>
      </c>
      <c r="C78" s="10"/>
      <c r="D78" s="4">
        <v>546.53</v>
      </c>
      <c r="E78" s="4"/>
      <c r="F78" s="12">
        <f>IF(D$12=0,0,D78/D$12)</f>
        <v>3.304910046677402E-2</v>
      </c>
      <c r="G78" s="4"/>
      <c r="H78" s="4">
        <v>2546.6</v>
      </c>
      <c r="I78" s="4"/>
      <c r="J78" s="12">
        <f>IF(H$12=0,0,H78/H$12)</f>
        <v>0.27969370540891991</v>
      </c>
      <c r="K78" s="4"/>
      <c r="L78" s="4">
        <f>+D78-H78</f>
        <v>-2000.07</v>
      </c>
      <c r="M78" s="4"/>
      <c r="N78" s="12">
        <f>IF(H78=0,0,L78/H78)</f>
        <v>-0.78538836095185738</v>
      </c>
      <c r="O78" s="10"/>
      <c r="P78" s="4">
        <v>9284.73</v>
      </c>
      <c r="Q78" s="4"/>
      <c r="R78" s="12">
        <f>IF(P$12=0,0,P78/P$12)</f>
        <v>0.12377563869953544</v>
      </c>
      <c r="S78" s="4"/>
      <c r="T78" s="4">
        <v>11388.94</v>
      </c>
      <c r="U78" s="4"/>
      <c r="V78" s="12">
        <f>IF(T$12=0,0,T78/T$12)</f>
        <v>0.18525499738927179</v>
      </c>
      <c r="W78" s="4"/>
      <c r="X78" s="4">
        <f>+P78-T78</f>
        <v>-2104.2100000000009</v>
      </c>
      <c r="Y78" s="4"/>
      <c r="Z78" s="12">
        <f>IF(T78=0,0,X78/T78)</f>
        <v>-0.18475907327635416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5" t="s">
        <v>125</v>
      </c>
      <c r="C80" s="25"/>
      <c r="D80" s="33">
        <f>+D76-D78</f>
        <v>-3674.4300000000048</v>
      </c>
      <c r="E80" s="13"/>
      <c r="F80" s="35">
        <f>IF(D$12=0,0,D80/D$12)</f>
        <v>-0.22219568226470393</v>
      </c>
      <c r="G80" s="13"/>
      <c r="H80" s="33">
        <f>+H76-H78</f>
        <v>-24972.679999999993</v>
      </c>
      <c r="I80" s="13"/>
      <c r="J80" s="35">
        <f>IF(H$12=0,0,H80/H$12)</f>
        <v>-2.7427555969493542</v>
      </c>
      <c r="K80" s="16"/>
      <c r="L80" s="33">
        <f>D80-H80</f>
        <v>21298.249999999989</v>
      </c>
      <c r="M80" s="16"/>
      <c r="N80" s="35">
        <f>IF(H80=0,0,L80/H80)</f>
        <v>-0.85286200760190711</v>
      </c>
      <c r="O80" s="26"/>
      <c r="P80" s="33">
        <f>+P76-P78</f>
        <v>-9434.2499999999745</v>
      </c>
      <c r="Q80" s="13"/>
      <c r="R80" s="35">
        <f>IF(P$12=0,0,P80/P$12)</f>
        <v>-0.12576890436244123</v>
      </c>
      <c r="S80" s="13"/>
      <c r="T80" s="33">
        <f>+T76-T78</f>
        <v>33377.780000000021</v>
      </c>
      <c r="U80" s="13"/>
      <c r="V80" s="35">
        <f>IF(T$12=0,0,T80/T$12)</f>
        <v>0.5429302943697738</v>
      </c>
      <c r="W80" s="16"/>
      <c r="X80" s="33">
        <f>P80-T80</f>
        <v>-42812.03</v>
      </c>
      <c r="Y80" s="16"/>
      <c r="Z80" s="35">
        <f>IF(T80=0,0,X80/T80)</f>
        <v>-1.2826506136717293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5" t="s">
        <v>293</v>
      </c>
      <c r="C83" s="25"/>
      <c r="D83" s="31">
        <f>SUM(D80:D82)</f>
        <v>-3674.4300000000048</v>
      </c>
      <c r="E83" s="13"/>
      <c r="F83" s="32">
        <f>IF(D$12=0,0,D83/D$12)</f>
        <v>-0.22219568226470393</v>
      </c>
      <c r="G83" s="13"/>
      <c r="H83" s="31">
        <f>SUM(H80:H82)</f>
        <v>-24972.679999999993</v>
      </c>
      <c r="I83" s="13"/>
      <c r="J83" s="32">
        <f>IF(H$12=0,0,H83/H$12)</f>
        <v>-2.7427555969493542</v>
      </c>
      <c r="K83" s="16"/>
      <c r="L83" s="31">
        <f>+D83-H83</f>
        <v>21298.249999999989</v>
      </c>
      <c r="M83" s="16"/>
      <c r="N83" s="32">
        <f>IF(H83=0,0,L83/H83)</f>
        <v>-0.85286200760190711</v>
      </c>
      <c r="O83" s="26"/>
      <c r="P83" s="31">
        <f>SUM(P80:P82)</f>
        <v>-9434.2499999999745</v>
      </c>
      <c r="Q83" s="13"/>
      <c r="R83" s="32">
        <f>IF(P$12=0,0,P83/P$12)</f>
        <v>-0.12576890436244123</v>
      </c>
      <c r="S83" s="13"/>
      <c r="T83" s="31">
        <f>SUM(T80:T82)</f>
        <v>33377.780000000021</v>
      </c>
      <c r="U83" s="13"/>
      <c r="V83" s="32">
        <f>IF(T$12=0,0,T83/T$12)</f>
        <v>0.5429302943697738</v>
      </c>
      <c r="W83" s="16"/>
      <c r="X83" s="31">
        <f>+P83-T83</f>
        <v>-42812.03</v>
      </c>
      <c r="Y83" s="16"/>
      <c r="Z83" s="32">
        <f>IF(T83=0,0,X83/T83)</f>
        <v>-1.2826506136717293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8">
        <v>44481.985600196756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3" t="s">
        <v>56</v>
      </c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2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","316", " - ", "Campus Copy Center")</f>
        <v>Department 316 - Campus Copy Center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16536.91</v>
      </c>
      <c r="E12" s="4"/>
      <c r="F12" s="12"/>
      <c r="G12" s="4"/>
      <c r="H12" s="4">
        <f>SUM(OSRRefH13x_0)</f>
        <v>9104.9600000000009</v>
      </c>
      <c r="I12" s="4"/>
      <c r="J12" s="12"/>
      <c r="K12" s="4"/>
      <c r="L12" s="4">
        <f t="shared" ref="L12:L23" si="0">+D12-H12</f>
        <v>7431.9499999999989</v>
      </c>
      <c r="M12" s="4"/>
      <c r="N12" s="12">
        <f t="shared" ref="N12:N23" si="1">IF(H12=0,0,L12/H12)</f>
        <v>0.81625289951850399</v>
      </c>
      <c r="O12" s="10"/>
      <c r="P12" s="4">
        <f>SUM(OSRRefP13x_0)</f>
        <v>75012.580000000016</v>
      </c>
      <c r="Q12" s="4"/>
      <c r="R12" s="12"/>
      <c r="S12" s="4"/>
      <c r="T12" s="4">
        <f>SUM(OSRRefT13x_0)</f>
        <v>61477.1</v>
      </c>
      <c r="U12" s="4"/>
      <c r="V12" s="12"/>
      <c r="W12" s="4"/>
      <c r="X12" s="4">
        <f t="shared" ref="X12:X23" si="2">+P12-T12</f>
        <v>13535.480000000018</v>
      </c>
      <c r="Y12" s="4"/>
      <c r="Z12" s="12">
        <f t="shared" ref="Z12:Z23" si="3">IF(T12=0,0,X12/T12)</f>
        <v>0.22017108809621824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--11641.04</f>
        <v>11641.04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11641.04</v>
      </c>
      <c r="M13" s="2"/>
      <c r="N13" s="19">
        <f t="shared" si="1"/>
        <v>0</v>
      </c>
      <c r="O13" s="11"/>
      <c r="P13" s="2">
        <f>--66441.66</f>
        <v>66441.66</v>
      </c>
      <c r="Q13" s="2"/>
      <c r="R13" s="19"/>
      <c r="S13" s="2"/>
      <c r="T13" s="2">
        <f>-7.3</f>
        <v>-7.3</v>
      </c>
      <c r="U13" s="2"/>
      <c r="V13" s="19"/>
      <c r="W13" s="2"/>
      <c r="X13" s="2">
        <f t="shared" si="2"/>
        <v>66448.960000000006</v>
      </c>
      <c r="Y13" s="2"/>
      <c r="Z13" s="19">
        <f t="shared" si="3"/>
        <v>-9102.597260273973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 t="shared" ref="D14:D16" si="4">0</f>
        <v>0</v>
      </c>
      <c r="E14" s="2"/>
      <c r="F14" s="19"/>
      <c r="G14" s="2"/>
      <c r="H14" s="2">
        <f>--8785.72</f>
        <v>8785.7199999999993</v>
      </c>
      <c r="I14" s="2"/>
      <c r="J14" s="19"/>
      <c r="K14" s="2"/>
      <c r="L14" s="2">
        <f t="shared" si="0"/>
        <v>-8785.7199999999993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--52221.77</f>
        <v>52221.77</v>
      </c>
      <c r="U14" s="2"/>
      <c r="V14" s="19"/>
      <c r="W14" s="2"/>
      <c r="X14" s="2">
        <f t="shared" si="2"/>
        <v>-52221.77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 t="shared" si="4"/>
        <v>0</v>
      </c>
      <c r="E15" s="2"/>
      <c r="F15" s="19"/>
      <c r="G15" s="2"/>
      <c r="H15" s="2">
        <f>--476.85</f>
        <v>476.85</v>
      </c>
      <c r="I15" s="2"/>
      <c r="J15" s="19"/>
      <c r="K15" s="2"/>
      <c r="L15" s="2">
        <f t="shared" si="0"/>
        <v>-476.85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--9433.72</f>
        <v>9433.7199999999993</v>
      </c>
      <c r="U15" s="2"/>
      <c r="V15" s="19"/>
      <c r="W15" s="2"/>
      <c r="X15" s="2">
        <f t="shared" si="2"/>
        <v>-9433.7199999999993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si="4"/>
        <v>0</v>
      </c>
      <c r="E16" s="2"/>
      <c r="F16" s="19"/>
      <c r="G16" s="2"/>
      <c r="H16" s="2">
        <f>--2.99</f>
        <v>2.99</v>
      </c>
      <c r="I16" s="2"/>
      <c r="J16" s="19"/>
      <c r="K16" s="2"/>
      <c r="L16" s="2">
        <f t="shared" si="0"/>
        <v>-2.99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--7.98</f>
        <v>7.98</v>
      </c>
      <c r="U16" s="2"/>
      <c r="V16" s="19"/>
      <c r="W16" s="2"/>
      <c r="X16" s="2">
        <f t="shared" si="2"/>
        <v>-7.98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--171.97</f>
        <v>171.97</v>
      </c>
      <c r="E17" s="2"/>
      <c r="F17" s="19"/>
      <c r="G17" s="2"/>
      <c r="H17" s="2">
        <f t="shared" ref="H17:H19" si="6">0</f>
        <v>0</v>
      </c>
      <c r="I17" s="2"/>
      <c r="J17" s="19"/>
      <c r="K17" s="2"/>
      <c r="L17" s="2">
        <f t="shared" si="0"/>
        <v>171.97</v>
      </c>
      <c r="M17" s="2"/>
      <c r="N17" s="19">
        <f t="shared" si="1"/>
        <v>0</v>
      </c>
      <c r="O17" s="11"/>
      <c r="P17" s="2">
        <f>--1006.82</f>
        <v>1006.82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1006.82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--71.05</f>
        <v>71.05</v>
      </c>
      <c r="E18" s="2"/>
      <c r="F18" s="19"/>
      <c r="G18" s="2"/>
      <c r="H18" s="2">
        <f t="shared" si="6"/>
        <v>0</v>
      </c>
      <c r="I18" s="2"/>
      <c r="J18" s="19"/>
      <c r="K18" s="2"/>
      <c r="L18" s="2">
        <f t="shared" si="0"/>
        <v>71.05</v>
      </c>
      <c r="M18" s="2"/>
      <c r="N18" s="19">
        <f t="shared" si="1"/>
        <v>0</v>
      </c>
      <c r="O18" s="11"/>
      <c r="P18" s="2">
        <f>--460.55</f>
        <v>460.55</v>
      </c>
      <c r="Q18" s="2"/>
      <c r="R18" s="19"/>
      <c r="S18" s="2"/>
      <c r="T18" s="2">
        <f>--457.5</f>
        <v>457.5</v>
      </c>
      <c r="U18" s="2"/>
      <c r="V18" s="19"/>
      <c r="W18" s="2"/>
      <c r="X18" s="2">
        <f t="shared" si="2"/>
        <v>3.0500000000000114</v>
      </c>
      <c r="Y18" s="2"/>
      <c r="Z18" s="19">
        <f t="shared" si="3"/>
        <v>6.6666666666666914E-3</v>
      </c>
    </row>
    <row r="19" spans="1:26" s="24" customFormat="1" hidden="1" outlineLevel="1" x14ac:dyDescent="0.25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0</f>
        <v>0</v>
      </c>
      <c r="E19" s="2"/>
      <c r="F19" s="19"/>
      <c r="G19" s="2"/>
      <c r="H19" s="2">
        <f t="shared" si="6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0</f>
        <v>0</v>
      </c>
      <c r="Q19" s="2"/>
      <c r="R19" s="19"/>
      <c r="S19" s="2"/>
      <c r="T19" s="2">
        <f>--5.98</f>
        <v>5.98</v>
      </c>
      <c r="U19" s="2"/>
      <c r="V19" s="19"/>
      <c r="W19" s="2"/>
      <c r="X19" s="2">
        <f t="shared" si="2"/>
        <v>-5.98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--4759.35</f>
        <v>4759.3500000000004</v>
      </c>
      <c r="E20" s="2"/>
      <c r="F20" s="19"/>
      <c r="G20" s="2"/>
      <c r="H20" s="2">
        <f>--49.7</f>
        <v>49.7</v>
      </c>
      <c r="I20" s="2"/>
      <c r="J20" s="19"/>
      <c r="K20" s="2"/>
      <c r="L20" s="2">
        <f t="shared" si="0"/>
        <v>4709.6500000000005</v>
      </c>
      <c r="M20" s="2"/>
      <c r="N20" s="19">
        <f t="shared" si="1"/>
        <v>94.761569416499</v>
      </c>
      <c r="O20" s="11"/>
      <c r="P20" s="2">
        <f>--7492.95</f>
        <v>7492.95</v>
      </c>
      <c r="Q20" s="2"/>
      <c r="R20" s="19"/>
      <c r="S20" s="2"/>
      <c r="T20" s="2">
        <f>--65.2</f>
        <v>65.2</v>
      </c>
      <c r="U20" s="2"/>
      <c r="V20" s="19"/>
      <c r="W20" s="2"/>
      <c r="X20" s="2">
        <f t="shared" si="2"/>
        <v>7427.75</v>
      </c>
      <c r="Y20" s="2"/>
      <c r="Z20" s="19">
        <f t="shared" si="3"/>
        <v>113.92254601226993</v>
      </c>
    </row>
    <row r="21" spans="1:26" s="24" customFormat="1" hidden="1" outlineLevel="1" x14ac:dyDescent="0.25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>0</f>
        <v>0</v>
      </c>
      <c r="E21" s="2"/>
      <c r="F21" s="19"/>
      <c r="G21" s="2"/>
      <c r="H21" s="2">
        <f>--24</f>
        <v>24</v>
      </c>
      <c r="I21" s="2"/>
      <c r="J21" s="19"/>
      <c r="K21" s="2"/>
      <c r="L21" s="2">
        <f t="shared" si="0"/>
        <v>-24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--48</f>
        <v>48</v>
      </c>
      <c r="U21" s="2"/>
      <c r="V21" s="19"/>
      <c r="W21" s="2"/>
      <c r="X21" s="2">
        <f t="shared" si="2"/>
        <v>-48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"4200", " - ", "TAXABLE RETURNS")</f>
        <v xml:space="preserve">          4200 - TAXABLE RETURNS</v>
      </c>
      <c r="C22" s="11"/>
      <c r="D22" s="2">
        <f>-106.5</f>
        <v>-106.5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-106.5</v>
      </c>
      <c r="M22" s="2"/>
      <c r="N22" s="19">
        <f t="shared" si="1"/>
        <v>0</v>
      </c>
      <c r="O22" s="11"/>
      <c r="P22" s="2">
        <f>-389.4</f>
        <v>-389.4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-389.4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0</f>
        <v>0</v>
      </c>
      <c r="E23" s="2"/>
      <c r="F23" s="19"/>
      <c r="G23" s="2"/>
      <c r="H23" s="2">
        <f>-234.3</f>
        <v>-234.3</v>
      </c>
      <c r="I23" s="2"/>
      <c r="J23" s="19"/>
      <c r="K23" s="2"/>
      <c r="L23" s="2">
        <f t="shared" si="0"/>
        <v>234.3</v>
      </c>
      <c r="M23" s="2"/>
      <c r="N23" s="19">
        <f t="shared" si="1"/>
        <v>-1</v>
      </c>
      <c r="O23" s="11"/>
      <c r="P23" s="2">
        <f>0</f>
        <v>0</v>
      </c>
      <c r="Q23" s="2"/>
      <c r="R23" s="19"/>
      <c r="S23" s="2"/>
      <c r="T23" s="2">
        <f>-755.75</f>
        <v>-755.75</v>
      </c>
      <c r="U23" s="2"/>
      <c r="V23" s="19"/>
      <c r="W23" s="2"/>
      <c r="X23" s="2">
        <f t="shared" si="2"/>
        <v>755.75</v>
      </c>
      <c r="Y23" s="2"/>
      <c r="Z23" s="19">
        <f t="shared" si="3"/>
        <v>-1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6" t="s">
        <v>256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107</v>
      </c>
      <c r="C27" s="25"/>
      <c r="D27" s="21">
        <f>D12-D25</f>
        <v>16536.91</v>
      </c>
      <c r="E27" s="13"/>
      <c r="F27" s="22">
        <f>IF(D$12=0,0,D27/D$12)</f>
        <v>1</v>
      </c>
      <c r="G27" s="13"/>
      <c r="H27" s="21">
        <f>H12-H25</f>
        <v>9104.9600000000009</v>
      </c>
      <c r="I27" s="13"/>
      <c r="J27" s="22">
        <f>IF(H$12=0,0,H27/H$12)</f>
        <v>1</v>
      </c>
      <c r="K27" s="16"/>
      <c r="L27" s="21">
        <f>+D27-H27</f>
        <v>7431.9499999999989</v>
      </c>
      <c r="M27" s="16"/>
      <c r="N27" s="22">
        <f>IF(H27=0,0,L27/H27)</f>
        <v>0.81625289951850399</v>
      </c>
      <c r="O27" s="26"/>
      <c r="P27" s="21">
        <f>P12-P25</f>
        <v>75012.580000000016</v>
      </c>
      <c r="Q27" s="13"/>
      <c r="R27" s="22">
        <f>IF(P$12=0,0,P27/P$12)</f>
        <v>1</v>
      </c>
      <c r="S27" s="13"/>
      <c r="T27" s="21">
        <f>T12-T25</f>
        <v>61477.1</v>
      </c>
      <c r="U27" s="13"/>
      <c r="V27" s="22">
        <f>IF(T$12=0,0,T27/T$12)</f>
        <v>1</v>
      </c>
      <c r="W27" s="16"/>
      <c r="X27" s="21">
        <f>+P27-T27</f>
        <v>13535.480000000018</v>
      </c>
      <c r="Y27" s="16"/>
      <c r="Z27" s="22">
        <f>IF(T27=0,0,X27/T27)</f>
        <v>0.22017108809621824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6" t="s">
        <v>294</v>
      </c>
      <c r="C29" s="10"/>
      <c r="D29" s="20">
        <f>SUM(OSRRefD22x_0)</f>
        <v>34563.810000000005</v>
      </c>
      <c r="E29" s="20"/>
      <c r="F29" s="30">
        <f t="shared" ref="F29:F38" si="7">IF(D$12=0,0,D29/D$12)</f>
        <v>2.0901008713236031</v>
      </c>
      <c r="G29" s="20"/>
      <c r="H29" s="20">
        <f>SUM(OSRRefH22x_0)</f>
        <v>38313.039999999994</v>
      </c>
      <c r="I29" s="20"/>
      <c r="J29" s="30">
        <f t="shared" ref="J29:J38" si="8">IF(H$12=0,0,H29/H$12)</f>
        <v>4.2079306224299708</v>
      </c>
      <c r="K29" s="4"/>
      <c r="L29" s="20">
        <f t="shared" ref="L29:L38" si="9">+D29-H29</f>
        <v>-3749.2299999999886</v>
      </c>
      <c r="M29" s="4"/>
      <c r="N29" s="30">
        <f t="shared" ref="N29:N38" si="10">IF(H29=0,0,L29/H29)</f>
        <v>-9.7857805071066908E-2</v>
      </c>
      <c r="O29" s="10"/>
      <c r="P29" s="20">
        <f>SUM(OSRRefP22x_0)</f>
        <v>90061.099999999991</v>
      </c>
      <c r="Q29" s="20"/>
      <c r="R29" s="30">
        <f t="shared" ref="R29:R38" si="11">IF(P$12=0,0,P29/P$12)</f>
        <v>1.2006132837985304</v>
      </c>
      <c r="S29" s="20"/>
      <c r="T29" s="20">
        <f>SUM(OSRRefT22x_0)</f>
        <v>37056.379999999976</v>
      </c>
      <c r="U29" s="20"/>
      <c r="V29" s="30">
        <f t="shared" ref="V29:V38" si="12">IF(T$12=0,0,T29/T$12)</f>
        <v>0.60276720925352656</v>
      </c>
      <c r="W29" s="4"/>
      <c r="X29" s="20">
        <f t="shared" ref="X29:X38" si="13">+P29-T29</f>
        <v>53004.720000000016</v>
      </c>
      <c r="Y29" s="4"/>
      <c r="Z29" s="30">
        <f t="shared" ref="Z29:Z38" si="14">IF(T29=0,0,X29/T29)</f>
        <v>1.4303804095273216</v>
      </c>
    </row>
    <row r="30" spans="1:26" s="27" customFormat="1" outlineLevel="1" collapsed="1" x14ac:dyDescent="0.25">
      <c r="A30" s="29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8204.0700000000015</v>
      </c>
      <c r="E30" s="1"/>
      <c r="F30" s="5">
        <f t="shared" si="7"/>
        <v>0.49610658823202169</v>
      </c>
      <c r="G30" s="1"/>
      <c r="H30" s="1">
        <f>SUM(OSRRefH22_0x_0)</f>
        <v>9025.3599999999988</v>
      </c>
      <c r="I30" s="1"/>
      <c r="J30" s="5">
        <f t="shared" si="8"/>
        <v>0.99125751238885151</v>
      </c>
      <c r="K30" s="1"/>
      <c r="L30" s="1">
        <f t="shared" si="9"/>
        <v>-821.28999999999724</v>
      </c>
      <c r="M30" s="1"/>
      <c r="N30" s="5">
        <f t="shared" si="10"/>
        <v>-9.0998032211457205E-2</v>
      </c>
      <c r="O30" s="14"/>
      <c r="P30" s="1">
        <f>SUM(OSRRefP22_0x_0)</f>
        <v>26299.750000000004</v>
      </c>
      <c r="Q30" s="1"/>
      <c r="R30" s="5">
        <f t="shared" si="11"/>
        <v>0.35060452526762842</v>
      </c>
      <c r="S30" s="1"/>
      <c r="T30" s="1">
        <f>SUM(OSRRefT22_0x_0)</f>
        <v>25858.910000000003</v>
      </c>
      <c r="U30" s="1"/>
      <c r="V30" s="5">
        <f t="shared" si="12"/>
        <v>0.42062670490312659</v>
      </c>
      <c r="W30" s="1"/>
      <c r="X30" s="1">
        <f t="shared" si="13"/>
        <v>440.84000000000015</v>
      </c>
      <c r="Y30" s="1"/>
      <c r="Z30" s="5">
        <f t="shared" si="14"/>
        <v>1.7047895676963958E-2</v>
      </c>
    </row>
    <row r="31" spans="1:26" s="24" customFormat="1" hidden="1" outlineLevel="2" x14ac:dyDescent="0.25">
      <c r="A31" s="28"/>
      <c r="B31" s="11" t="str">
        <f>CONCATENATE("          ", "6111", " - ", "F.I.C.A.")</f>
        <v xml:space="preserve">          6111 - F.I.C.A.</v>
      </c>
      <c r="C31" s="11"/>
      <c r="D31" s="7">
        <v>1244.83</v>
      </c>
      <c r="E31" s="2"/>
      <c r="F31" s="6">
        <f t="shared" si="7"/>
        <v>7.5275852623011189E-2</v>
      </c>
      <c r="G31" s="2"/>
      <c r="H31" s="7">
        <v>1220.78</v>
      </c>
      <c r="I31" s="2"/>
      <c r="J31" s="6">
        <f t="shared" si="8"/>
        <v>0.1340785681650441</v>
      </c>
      <c r="K31" s="2"/>
      <c r="L31" s="7">
        <f t="shared" si="9"/>
        <v>24.049999999999955</v>
      </c>
      <c r="M31" s="2"/>
      <c r="N31" s="6">
        <f t="shared" si="10"/>
        <v>1.9700519340094001E-2</v>
      </c>
      <c r="O31" s="11"/>
      <c r="P31" s="7">
        <v>3879.74</v>
      </c>
      <c r="Q31" s="2"/>
      <c r="R31" s="6">
        <f t="shared" si="11"/>
        <v>5.1721191298846128E-2</v>
      </c>
      <c r="S31" s="2"/>
      <c r="T31" s="7">
        <v>3554.26</v>
      </c>
      <c r="U31" s="2"/>
      <c r="V31" s="6">
        <f t="shared" si="12"/>
        <v>5.7814373156834013E-2</v>
      </c>
      <c r="W31" s="2"/>
      <c r="X31" s="7">
        <f t="shared" si="13"/>
        <v>325.47999999999956</v>
      </c>
      <c r="Y31" s="2"/>
      <c r="Z31" s="6">
        <f t="shared" si="14"/>
        <v>9.1574617501251884E-2</v>
      </c>
    </row>
    <row r="32" spans="1:26" s="24" customFormat="1" hidden="1" outlineLevel="2" x14ac:dyDescent="0.25">
      <c r="A32" s="28"/>
      <c r="B32" s="11" t="str">
        <f>CONCATENATE("          ", "6112", " - ", "COMPENSATION INSURANCE")</f>
        <v xml:space="preserve">          6112 - COMPENSATION INSURANCE</v>
      </c>
      <c r="C32" s="11"/>
      <c r="D32" s="7">
        <v>291.74</v>
      </c>
      <c r="E32" s="2"/>
      <c r="F32" s="6">
        <f t="shared" si="7"/>
        <v>1.7641748065388273E-2</v>
      </c>
      <c r="G32" s="2"/>
      <c r="H32" s="7">
        <v>316.77</v>
      </c>
      <c r="I32" s="2"/>
      <c r="J32" s="6">
        <f t="shared" si="8"/>
        <v>3.4790927143007765E-2</v>
      </c>
      <c r="K32" s="2"/>
      <c r="L32" s="7">
        <f t="shared" si="9"/>
        <v>-25.029999999999973</v>
      </c>
      <c r="M32" s="2"/>
      <c r="N32" s="6">
        <f t="shared" si="10"/>
        <v>-7.9016320989992658E-2</v>
      </c>
      <c r="O32" s="11"/>
      <c r="P32" s="7">
        <v>828.47</v>
      </c>
      <c r="Q32" s="2"/>
      <c r="R32" s="6">
        <f t="shared" si="11"/>
        <v>1.1044414150266527E-2</v>
      </c>
      <c r="S32" s="2"/>
      <c r="T32" s="7">
        <v>922.34</v>
      </c>
      <c r="U32" s="2"/>
      <c r="V32" s="6">
        <f t="shared" si="12"/>
        <v>1.5002984851269822E-2</v>
      </c>
      <c r="W32" s="2"/>
      <c r="X32" s="7">
        <f t="shared" si="13"/>
        <v>-93.87</v>
      </c>
      <c r="Y32" s="2"/>
      <c r="Z32" s="6">
        <f t="shared" si="14"/>
        <v>-0.10177374937658565</v>
      </c>
    </row>
    <row r="33" spans="1:26" s="24" customFormat="1" hidden="1" outlineLevel="2" x14ac:dyDescent="0.25">
      <c r="A33" s="28"/>
      <c r="B33" s="11" t="str">
        <f>CONCATENATE("          ", "6113", " - ", "GROUP INSURANCE")</f>
        <v xml:space="preserve">          6113 - GROUP INSURANCE</v>
      </c>
      <c r="C33" s="11"/>
      <c r="D33" s="7">
        <v>3443.98</v>
      </c>
      <c r="E33" s="2"/>
      <c r="F33" s="6">
        <f t="shared" si="7"/>
        <v>0.20826018887446324</v>
      </c>
      <c r="G33" s="2"/>
      <c r="H33" s="7">
        <v>3423.78</v>
      </c>
      <c r="I33" s="2"/>
      <c r="J33" s="6">
        <f t="shared" si="8"/>
        <v>0.37603460092081675</v>
      </c>
      <c r="K33" s="2"/>
      <c r="L33" s="7">
        <f t="shared" si="9"/>
        <v>20.199999999999818</v>
      </c>
      <c r="M33" s="2"/>
      <c r="N33" s="6">
        <f t="shared" si="10"/>
        <v>5.8999117933978872E-3</v>
      </c>
      <c r="O33" s="11"/>
      <c r="P33" s="7">
        <v>10264.44</v>
      </c>
      <c r="Q33" s="2"/>
      <c r="R33" s="6">
        <f t="shared" si="11"/>
        <v>0.1368362480000021</v>
      </c>
      <c r="S33" s="2"/>
      <c r="T33" s="7">
        <v>9469.99</v>
      </c>
      <c r="U33" s="2"/>
      <c r="V33" s="6">
        <f t="shared" si="12"/>
        <v>0.15404093556787812</v>
      </c>
      <c r="W33" s="2"/>
      <c r="X33" s="7">
        <f t="shared" si="13"/>
        <v>794.45000000000073</v>
      </c>
      <c r="Y33" s="2"/>
      <c r="Z33" s="6">
        <f t="shared" si="14"/>
        <v>8.3891324066868153E-2</v>
      </c>
    </row>
    <row r="34" spans="1:26" s="24" customFormat="1" hidden="1" outlineLevel="2" x14ac:dyDescent="0.25">
      <c r="A34" s="28"/>
      <c r="B34" s="11" t="str">
        <f>CONCATENATE("          ", "6114", " - ", "STATE UNEMPLOYMENT INSURANCE")</f>
        <v xml:space="preserve">          6114 - STATE UNEMPLOYMENT INSURANCE</v>
      </c>
      <c r="C34" s="11"/>
      <c r="D34" s="7">
        <v>51.25</v>
      </c>
      <c r="E34" s="2"/>
      <c r="F34" s="6">
        <f t="shared" si="7"/>
        <v>3.0991279507477515E-3</v>
      </c>
      <c r="G34" s="2"/>
      <c r="H34" s="7">
        <v>44.52</v>
      </c>
      <c r="I34" s="2"/>
      <c r="J34" s="6">
        <f t="shared" si="8"/>
        <v>4.889642568446209E-3</v>
      </c>
      <c r="K34" s="2"/>
      <c r="L34" s="7">
        <f t="shared" si="9"/>
        <v>6.7299999999999969</v>
      </c>
      <c r="M34" s="2"/>
      <c r="N34" s="6">
        <f t="shared" si="10"/>
        <v>0.15116801437556146</v>
      </c>
      <c r="O34" s="11"/>
      <c r="P34" s="7">
        <v>145.54</v>
      </c>
      <c r="Q34" s="2"/>
      <c r="R34" s="6">
        <f t="shared" si="11"/>
        <v>1.9402078957956113E-3</v>
      </c>
      <c r="S34" s="2"/>
      <c r="T34" s="7">
        <v>129.62</v>
      </c>
      <c r="U34" s="2"/>
      <c r="V34" s="6">
        <f t="shared" si="12"/>
        <v>2.1084273656369608E-3</v>
      </c>
      <c r="W34" s="2"/>
      <c r="X34" s="7">
        <f t="shared" si="13"/>
        <v>15.919999999999987</v>
      </c>
      <c r="Y34" s="2"/>
      <c r="Z34" s="6">
        <f t="shared" si="14"/>
        <v>0.12282055238389128</v>
      </c>
    </row>
    <row r="35" spans="1:26" s="24" customFormat="1" hidden="1" outlineLevel="2" x14ac:dyDescent="0.25">
      <c r="A35" s="28"/>
      <c r="B35" s="11" t="str">
        <f>CONCATENATE("          ", "6115", " - ", "P.E.R.S.")</f>
        <v xml:space="preserve">          6115 - P.E.R.S.</v>
      </c>
      <c r="C35" s="11"/>
      <c r="D35" s="7">
        <v>1590.79</v>
      </c>
      <c r="E35" s="2"/>
      <c r="F35" s="6">
        <f t="shared" si="7"/>
        <v>9.6196326883317376E-2</v>
      </c>
      <c r="G35" s="2"/>
      <c r="H35" s="7">
        <v>1614.45</v>
      </c>
      <c r="I35" s="2"/>
      <c r="J35" s="6">
        <f t="shared" si="8"/>
        <v>0.17731544125399781</v>
      </c>
      <c r="K35" s="2"/>
      <c r="L35" s="7">
        <f t="shared" si="9"/>
        <v>-23.660000000000082</v>
      </c>
      <c r="M35" s="2"/>
      <c r="N35" s="6">
        <f t="shared" si="10"/>
        <v>-1.4655145715259117E-2</v>
      </c>
      <c r="O35" s="11"/>
      <c r="P35" s="7">
        <v>4772.37</v>
      </c>
      <c r="Q35" s="2"/>
      <c r="R35" s="6">
        <f t="shared" si="11"/>
        <v>6.3620928649567837E-2</v>
      </c>
      <c r="S35" s="2"/>
      <c r="T35" s="7">
        <v>5295.36</v>
      </c>
      <c r="U35" s="2"/>
      <c r="V35" s="6">
        <f t="shared" si="12"/>
        <v>8.6135487848320758E-2</v>
      </c>
      <c r="W35" s="2"/>
      <c r="X35" s="7">
        <f t="shared" si="13"/>
        <v>-522.98999999999978</v>
      </c>
      <c r="Y35" s="2"/>
      <c r="Z35" s="6">
        <f t="shared" si="14"/>
        <v>-9.8763823422770083E-2</v>
      </c>
    </row>
    <row r="36" spans="1:26" s="24" customFormat="1" hidden="1" outlineLevel="2" x14ac:dyDescent="0.25">
      <c r="A36" s="28"/>
      <c r="B36" s="11" t="str">
        <f>CONCATENATE("          ", "6118", " - ", "VACATION")</f>
        <v xml:space="preserve">          6118 - VACATION</v>
      </c>
      <c r="C36" s="11"/>
      <c r="D36" s="7">
        <v>697.52</v>
      </c>
      <c r="E36" s="2"/>
      <c r="F36" s="6">
        <f t="shared" si="7"/>
        <v>4.2179584940596516E-2</v>
      </c>
      <c r="G36" s="2"/>
      <c r="H36" s="7">
        <v>1216.0999999999999</v>
      </c>
      <c r="I36" s="2"/>
      <c r="J36" s="6">
        <f t="shared" si="8"/>
        <v>0.13356456261202682</v>
      </c>
      <c r="K36" s="2"/>
      <c r="L36" s="7">
        <f t="shared" si="9"/>
        <v>-518.57999999999993</v>
      </c>
      <c r="M36" s="2"/>
      <c r="N36" s="6">
        <f t="shared" si="10"/>
        <v>-0.42642874763588517</v>
      </c>
      <c r="O36" s="11"/>
      <c r="P36" s="7">
        <v>3129.72</v>
      </c>
      <c r="Q36" s="2"/>
      <c r="R36" s="6">
        <f t="shared" si="11"/>
        <v>4.1722601728936652E-2</v>
      </c>
      <c r="S36" s="2"/>
      <c r="T36" s="7">
        <v>3411.08</v>
      </c>
      <c r="U36" s="2"/>
      <c r="V36" s="6">
        <f t="shared" si="12"/>
        <v>5.5485375855399817E-2</v>
      </c>
      <c r="W36" s="2"/>
      <c r="X36" s="7">
        <f t="shared" si="13"/>
        <v>-281.36000000000013</v>
      </c>
      <c r="Y36" s="2"/>
      <c r="Z36" s="6">
        <f t="shared" si="14"/>
        <v>-8.2484139920494429E-2</v>
      </c>
    </row>
    <row r="37" spans="1:26" s="24" customFormat="1" hidden="1" outlineLevel="2" x14ac:dyDescent="0.25">
      <c r="A37" s="28"/>
      <c r="B37" s="11" t="str">
        <f>CONCATENATE("          ", "6119", " - ", "SICK LEAVE")</f>
        <v xml:space="preserve">          6119 - SICK LEAVE</v>
      </c>
      <c r="C37" s="11"/>
      <c r="D37" s="7">
        <v>566.41999999999996</v>
      </c>
      <c r="E37" s="2"/>
      <c r="F37" s="6">
        <f t="shared" si="7"/>
        <v>3.4251864465610564E-2</v>
      </c>
      <c r="G37" s="2"/>
      <c r="H37" s="7">
        <v>738.5</v>
      </c>
      <c r="I37" s="2"/>
      <c r="J37" s="6">
        <f t="shared" si="8"/>
        <v>8.1109636945137592E-2</v>
      </c>
      <c r="K37" s="2"/>
      <c r="L37" s="7">
        <f t="shared" si="9"/>
        <v>-172.08000000000004</v>
      </c>
      <c r="M37" s="2"/>
      <c r="N37" s="6">
        <f t="shared" si="10"/>
        <v>-0.23301286391333789</v>
      </c>
      <c r="O37" s="11"/>
      <c r="P37" s="7">
        <v>2043.42</v>
      </c>
      <c r="Q37" s="2"/>
      <c r="R37" s="6">
        <f t="shared" si="11"/>
        <v>2.7241030771105321E-2</v>
      </c>
      <c r="S37" s="2"/>
      <c r="T37" s="7">
        <v>2109.52</v>
      </c>
      <c r="U37" s="2"/>
      <c r="V37" s="6">
        <f t="shared" si="12"/>
        <v>3.431391526275638E-2</v>
      </c>
      <c r="W37" s="2"/>
      <c r="X37" s="7">
        <f t="shared" si="13"/>
        <v>-66.099999999999909</v>
      </c>
      <c r="Y37" s="2"/>
      <c r="Z37" s="6">
        <f t="shared" si="14"/>
        <v>-3.1334142364139665E-2</v>
      </c>
    </row>
    <row r="38" spans="1:26" s="24" customFormat="1" hidden="1" outlineLevel="2" x14ac:dyDescent="0.25">
      <c r="A38" s="28"/>
      <c r="B38" s="11" t="str">
        <f>CONCATENATE("          ", "6156", " - ", "EMPLOYEE MEALS")</f>
        <v xml:space="preserve">          6156 - EMPLOYEE MEALS</v>
      </c>
      <c r="C38" s="11"/>
      <c r="D38" s="7">
        <v>317.54000000000002</v>
      </c>
      <c r="E38" s="2"/>
      <c r="F38" s="6">
        <f t="shared" si="7"/>
        <v>1.9201894428886656E-2</v>
      </c>
      <c r="G38" s="2"/>
      <c r="H38" s="7">
        <v>450.46</v>
      </c>
      <c r="I38" s="2"/>
      <c r="J38" s="6">
        <f t="shared" si="8"/>
        <v>4.9474132780374644E-2</v>
      </c>
      <c r="K38" s="2"/>
      <c r="L38" s="7">
        <f t="shared" si="9"/>
        <v>-132.91999999999996</v>
      </c>
      <c r="M38" s="2"/>
      <c r="N38" s="6">
        <f t="shared" si="10"/>
        <v>-0.29507614438573893</v>
      </c>
      <c r="O38" s="11"/>
      <c r="P38" s="7">
        <v>1236.05</v>
      </c>
      <c r="Q38" s="2"/>
      <c r="R38" s="6">
        <f t="shared" si="11"/>
        <v>1.6477902773108188E-2</v>
      </c>
      <c r="S38" s="2"/>
      <c r="T38" s="7">
        <v>966.74</v>
      </c>
      <c r="U38" s="2"/>
      <c r="V38" s="6">
        <f t="shared" si="12"/>
        <v>1.5725204995030672E-2</v>
      </c>
      <c r="W38" s="2"/>
      <c r="X38" s="7">
        <f t="shared" si="13"/>
        <v>269.30999999999995</v>
      </c>
      <c r="Y38" s="2"/>
      <c r="Z38" s="6">
        <f t="shared" si="14"/>
        <v>0.27857541841653388</v>
      </c>
    </row>
    <row r="39" spans="1:26" s="27" customFormat="1" outlineLevel="1" collapsed="1" x14ac:dyDescent="0.25">
      <c r="A39" s="29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17178.86</v>
      </c>
      <c r="E39" s="1"/>
      <c r="F39" s="5">
        <f t="shared" ref="F39:F42" si="15">IF(D$12=0,0,D39/D$12)</f>
        <v>1.0388192231801467</v>
      </c>
      <c r="G39" s="1"/>
      <c r="H39" s="1">
        <f>SUM(OSRRefH22_1x_0)</f>
        <v>15984.94</v>
      </c>
      <c r="I39" s="1"/>
      <c r="J39" s="5">
        <f t="shared" ref="J39:J42" si="16">IF(H$12=0,0,H39/H$12)</f>
        <v>1.755629898428988</v>
      </c>
      <c r="K39" s="1"/>
      <c r="L39" s="1">
        <f t="shared" ref="L39:L42" si="17">+D39-H39</f>
        <v>1193.92</v>
      </c>
      <c r="M39" s="1"/>
      <c r="N39" s="5">
        <f t="shared" ref="N39:N42" si="18">IF(H39=0,0,L39/H39)</f>
        <v>7.4690302246989984E-2</v>
      </c>
      <c r="O39" s="14"/>
      <c r="P39" s="1">
        <f>SUM(OSRRefP22_1x_0)</f>
        <v>54561.1</v>
      </c>
      <c r="Q39" s="1"/>
      <c r="R39" s="5">
        <f t="shared" ref="R39:R42" si="19">IF(P$12=0,0,P39/P$12)</f>
        <v>0.72735933092822547</v>
      </c>
      <c r="S39" s="1"/>
      <c r="T39" s="1">
        <f>SUM(OSRRefT22_1x_0)</f>
        <v>44550.659999999996</v>
      </c>
      <c r="U39" s="1"/>
      <c r="V39" s="5">
        <f t="shared" ref="V39:V42" si="20">IF(T$12=0,0,T39/T$12)</f>
        <v>0.72467081238379816</v>
      </c>
      <c r="W39" s="1"/>
      <c r="X39" s="1">
        <f t="shared" ref="X39:X42" si="21">+P39-T39</f>
        <v>10010.440000000002</v>
      </c>
      <c r="Y39" s="1"/>
      <c r="Z39" s="5">
        <f t="shared" ref="Z39:Z42" si="22">IF(T39=0,0,X39/T39)</f>
        <v>0.22469790571003895</v>
      </c>
    </row>
    <row r="40" spans="1:26" s="24" customFormat="1" hidden="1" outlineLevel="2" x14ac:dyDescent="0.25">
      <c r="A40" s="28"/>
      <c r="B40" s="11" t="str">
        <f>CONCATENATE("          ", "6002", " - ", "STAFF SALARIES")</f>
        <v xml:space="preserve">          6002 - STAFF SALARIES</v>
      </c>
      <c r="C40" s="11"/>
      <c r="D40" s="7">
        <v>14552.52</v>
      </c>
      <c r="E40" s="2"/>
      <c r="F40" s="6">
        <f t="shared" si="15"/>
        <v>0.8800023704549399</v>
      </c>
      <c r="G40" s="2"/>
      <c r="H40" s="7">
        <v>14903.76</v>
      </c>
      <c r="I40" s="2"/>
      <c r="J40" s="6">
        <f t="shared" si="16"/>
        <v>1.6368836326573646</v>
      </c>
      <c r="K40" s="2"/>
      <c r="L40" s="7">
        <f t="shared" si="17"/>
        <v>-351.23999999999978</v>
      </c>
      <c r="M40" s="2"/>
      <c r="N40" s="6">
        <f t="shared" si="18"/>
        <v>-2.3567207201404195E-2</v>
      </c>
      <c r="O40" s="11"/>
      <c r="P40" s="7">
        <v>48819.14</v>
      </c>
      <c r="Q40" s="2"/>
      <c r="R40" s="6">
        <f t="shared" si="19"/>
        <v>0.65081270368250221</v>
      </c>
      <c r="S40" s="2"/>
      <c r="T40" s="7">
        <v>42013.96</v>
      </c>
      <c r="U40" s="2"/>
      <c r="V40" s="6">
        <f t="shared" si="20"/>
        <v>0.68340829349465082</v>
      </c>
      <c r="W40" s="2"/>
      <c r="X40" s="7">
        <f t="shared" si="21"/>
        <v>6805.18</v>
      </c>
      <c r="Y40" s="2"/>
      <c r="Z40" s="6">
        <f t="shared" si="22"/>
        <v>0.16197425807993343</v>
      </c>
    </row>
    <row r="41" spans="1:26" s="24" customFormat="1" hidden="1" outlineLevel="2" x14ac:dyDescent="0.25">
      <c r="A41" s="28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15"/>
        <v>0</v>
      </c>
      <c r="G41" s="2"/>
      <c r="H41" s="7"/>
      <c r="I41" s="2"/>
      <c r="J41" s="6">
        <f t="shared" si="16"/>
        <v>0</v>
      </c>
      <c r="K41" s="2"/>
      <c r="L41" s="7">
        <f t="shared" si="17"/>
        <v>0</v>
      </c>
      <c r="M41" s="2"/>
      <c r="N41" s="6">
        <f t="shared" si="18"/>
        <v>0</v>
      </c>
      <c r="O41" s="11"/>
      <c r="P41" s="7"/>
      <c r="Q41" s="2"/>
      <c r="R41" s="6">
        <f t="shared" si="19"/>
        <v>0</v>
      </c>
      <c r="S41" s="2"/>
      <c r="T41" s="7">
        <v>383.25</v>
      </c>
      <c r="U41" s="2"/>
      <c r="V41" s="6">
        <f t="shared" si="20"/>
        <v>6.234028605773532E-3</v>
      </c>
      <c r="W41" s="2"/>
      <c r="X41" s="7">
        <f t="shared" si="21"/>
        <v>-383.25</v>
      </c>
      <c r="Y41" s="2"/>
      <c r="Z41" s="6">
        <f t="shared" si="22"/>
        <v>-1</v>
      </c>
    </row>
    <row r="42" spans="1:26" s="24" customFormat="1" hidden="1" outlineLevel="2" x14ac:dyDescent="0.25">
      <c r="A42" s="28"/>
      <c r="B42" s="11" t="str">
        <f>CONCATENATE("          ", "6007", " - ", "STUDENT HOURLY")</f>
        <v xml:space="preserve">          6007 - STUDENT HOURLY</v>
      </c>
      <c r="C42" s="11"/>
      <c r="D42" s="7">
        <v>2626.34</v>
      </c>
      <c r="E42" s="2"/>
      <c r="F42" s="6">
        <f t="shared" si="15"/>
        <v>0.15881685272520685</v>
      </c>
      <c r="G42" s="2"/>
      <c r="H42" s="7">
        <v>1081.18</v>
      </c>
      <c r="I42" s="2"/>
      <c r="J42" s="6">
        <f t="shared" si="16"/>
        <v>0.11874626577162338</v>
      </c>
      <c r="K42" s="2"/>
      <c r="L42" s="7">
        <f t="shared" si="17"/>
        <v>1545.16</v>
      </c>
      <c r="M42" s="2"/>
      <c r="N42" s="6">
        <f t="shared" si="18"/>
        <v>1.4291422334856361</v>
      </c>
      <c r="O42" s="11"/>
      <c r="P42" s="7">
        <v>5741.96</v>
      </c>
      <c r="Q42" s="2"/>
      <c r="R42" s="6">
        <f t="shared" si="19"/>
        <v>7.6546627245723295E-2</v>
      </c>
      <c r="S42" s="2"/>
      <c r="T42" s="7">
        <v>2153.4499999999998</v>
      </c>
      <c r="U42" s="2"/>
      <c r="V42" s="6">
        <f t="shared" si="20"/>
        <v>3.5028490283373806E-2</v>
      </c>
      <c r="W42" s="2"/>
      <c r="X42" s="7">
        <f t="shared" si="21"/>
        <v>3588.51</v>
      </c>
      <c r="Y42" s="2"/>
      <c r="Z42" s="6">
        <f t="shared" si="22"/>
        <v>1.6664004272214357</v>
      </c>
    </row>
    <row r="43" spans="1:26" s="27" customFormat="1" outlineLevel="1" collapsed="1" x14ac:dyDescent="0.25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SUM(OSRRefD22_2x_0)</f>
        <v>169.88</v>
      </c>
      <c r="E43" s="1"/>
      <c r="F43" s="5">
        <f t="shared" ref="F43:F51" si="23">IF(D$12=0,0,D43/D$12)</f>
        <v>1.0272777683376156E-2</v>
      </c>
      <c r="G43" s="1"/>
      <c r="H43" s="1">
        <f>SUM(OSRRefH22_2x_0)</f>
        <v>169.88</v>
      </c>
      <c r="I43" s="1"/>
      <c r="J43" s="5">
        <f t="shared" ref="J43:J51" si="24">IF(H$12=0,0,H43/H$12)</f>
        <v>1.8657962253540925E-2</v>
      </c>
      <c r="K43" s="1"/>
      <c r="L43" s="1">
        <f t="shared" ref="L43:L51" si="25">+D43-H43</f>
        <v>0</v>
      </c>
      <c r="M43" s="1"/>
      <c r="N43" s="5">
        <f t="shared" ref="N43:N51" si="26">IF(H43=0,0,L43/H43)</f>
        <v>0</v>
      </c>
      <c r="O43" s="14"/>
      <c r="P43" s="1">
        <f>SUM(OSRRefP22_2x_0)</f>
        <v>509.64</v>
      </c>
      <c r="Q43" s="1"/>
      <c r="R43" s="5">
        <f t="shared" ref="R43:R51" si="27">IF(P$12=0,0,P43/P$12)</f>
        <v>6.7940604096006279E-3</v>
      </c>
      <c r="S43" s="1"/>
      <c r="T43" s="1">
        <f>SUM(OSRRefT22_2x_0)</f>
        <v>509.64</v>
      </c>
      <c r="U43" s="1"/>
      <c r="V43" s="5">
        <f t="shared" ref="V43:V51" si="28">IF(T$12=0,0,T43/T$12)</f>
        <v>8.2899160825738363E-3</v>
      </c>
      <c r="W43" s="1"/>
      <c r="X43" s="1">
        <f t="shared" ref="X43:X51" si="29">+P43-T43</f>
        <v>0</v>
      </c>
      <c r="Y43" s="1"/>
      <c r="Z43" s="5">
        <f t="shared" ref="Z43:Z51" si="30">IF(T43=0,0,X43/T43)</f>
        <v>0</v>
      </c>
    </row>
    <row r="44" spans="1:26" s="24" customFormat="1" hidden="1" outlineLevel="2" x14ac:dyDescent="0.25">
      <c r="A44" s="28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169.88</v>
      </c>
      <c r="E44" s="2"/>
      <c r="F44" s="6">
        <f t="shared" si="23"/>
        <v>1.0272777683376156E-2</v>
      </c>
      <c r="G44" s="2"/>
      <c r="H44" s="7">
        <v>169.88</v>
      </c>
      <c r="I44" s="2"/>
      <c r="J44" s="6">
        <f t="shared" si="24"/>
        <v>1.8657962253540925E-2</v>
      </c>
      <c r="K44" s="2"/>
      <c r="L44" s="7">
        <f t="shared" si="25"/>
        <v>0</v>
      </c>
      <c r="M44" s="2"/>
      <c r="N44" s="6">
        <f t="shared" si="26"/>
        <v>0</v>
      </c>
      <c r="O44" s="11"/>
      <c r="P44" s="7">
        <v>509.64</v>
      </c>
      <c r="Q44" s="2"/>
      <c r="R44" s="6">
        <f t="shared" si="27"/>
        <v>6.7940604096006279E-3</v>
      </c>
      <c r="S44" s="2"/>
      <c r="T44" s="7">
        <v>509.64</v>
      </c>
      <c r="U44" s="2"/>
      <c r="V44" s="6">
        <f t="shared" si="28"/>
        <v>8.2899160825738363E-3</v>
      </c>
      <c r="W44" s="2"/>
      <c r="X44" s="7">
        <f t="shared" si="29"/>
        <v>0</v>
      </c>
      <c r="Y44" s="2"/>
      <c r="Z44" s="6">
        <f t="shared" si="30"/>
        <v>0</v>
      </c>
    </row>
    <row r="45" spans="1:26" s="27" customFormat="1" outlineLevel="1" collapsed="1" x14ac:dyDescent="0.25">
      <c r="A45" s="29"/>
      <c r="B45" s="14" t="str">
        <f>CONCATENATE("     ","Discounts and Markdowns                           ")</f>
        <v xml:space="preserve">     Discounts and Markdowns                           </v>
      </c>
      <c r="C45" s="14"/>
      <c r="D45" s="1">
        <f>SUM(OSRRefD22_3x_0)</f>
        <v>0</v>
      </c>
      <c r="E45" s="1"/>
      <c r="F45" s="5">
        <f t="shared" si="23"/>
        <v>0</v>
      </c>
      <c r="G45" s="1"/>
      <c r="H45" s="1">
        <f>SUM(OSRRefH22_3x_0)</f>
        <v>0</v>
      </c>
      <c r="I45" s="1"/>
      <c r="J45" s="5">
        <f t="shared" si="24"/>
        <v>0</v>
      </c>
      <c r="K45" s="1"/>
      <c r="L45" s="1">
        <f t="shared" si="25"/>
        <v>0</v>
      </c>
      <c r="M45" s="1"/>
      <c r="N45" s="5">
        <f t="shared" si="26"/>
        <v>0</v>
      </c>
      <c r="O45" s="14"/>
      <c r="P45" s="1">
        <f>SUM(OSRRefP22_3x_0)</f>
        <v>0</v>
      </c>
      <c r="Q45" s="1"/>
      <c r="R45" s="5">
        <f t="shared" si="27"/>
        <v>0</v>
      </c>
      <c r="S45" s="1"/>
      <c r="T45" s="1">
        <f>SUM(OSRRefT22_3x_0)</f>
        <v>0</v>
      </c>
      <c r="U45" s="1"/>
      <c r="V45" s="5">
        <f t="shared" si="28"/>
        <v>0</v>
      </c>
      <c r="W45" s="1"/>
      <c r="X45" s="1">
        <f t="shared" si="29"/>
        <v>0</v>
      </c>
      <c r="Y45" s="1"/>
      <c r="Z45" s="5">
        <f t="shared" si="30"/>
        <v>0</v>
      </c>
    </row>
    <row r="46" spans="1:26" s="24" customFormat="1" hidden="1" outlineLevel="2" x14ac:dyDescent="0.25">
      <c r="A46" s="28"/>
      <c r="B46" s="11" t="str">
        <f>CONCATENATE("          ", "6382", " - ", "DISCOUNTS/MARK DOWNS")</f>
        <v xml:space="preserve">          6382 - DISCOUNTS/MARK DOWNS</v>
      </c>
      <c r="C46" s="11"/>
      <c r="D46" s="7"/>
      <c r="E46" s="2"/>
      <c r="F46" s="6">
        <f t="shared" si="23"/>
        <v>0</v>
      </c>
      <c r="G46" s="2"/>
      <c r="H46" s="7">
        <v>0</v>
      </c>
      <c r="I46" s="2"/>
      <c r="J46" s="6">
        <f t="shared" si="24"/>
        <v>0</v>
      </c>
      <c r="K46" s="2"/>
      <c r="L46" s="7">
        <f t="shared" si="25"/>
        <v>0</v>
      </c>
      <c r="M46" s="2"/>
      <c r="N46" s="6">
        <f t="shared" si="26"/>
        <v>0</v>
      </c>
      <c r="O46" s="11"/>
      <c r="P46" s="7"/>
      <c r="Q46" s="2"/>
      <c r="R46" s="6">
        <f t="shared" si="27"/>
        <v>0</v>
      </c>
      <c r="S46" s="2"/>
      <c r="T46" s="7">
        <v>0</v>
      </c>
      <c r="U46" s="2"/>
      <c r="V46" s="6">
        <f t="shared" si="28"/>
        <v>0</v>
      </c>
      <c r="W46" s="2"/>
      <c r="X46" s="7">
        <f t="shared" si="29"/>
        <v>0</v>
      </c>
      <c r="Y46" s="2"/>
      <c r="Z46" s="6">
        <f t="shared" si="30"/>
        <v>0</v>
      </c>
    </row>
    <row r="47" spans="1:26" s="27" customFormat="1" outlineLevel="1" collapsed="1" x14ac:dyDescent="0.25">
      <c r="A47" s="29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SUM(OSRRefD22_4x_0)</f>
        <v>1205.6400000000001</v>
      </c>
      <c r="E47" s="1"/>
      <c r="F47" s="5">
        <f t="shared" si="23"/>
        <v>7.290600239101501E-2</v>
      </c>
      <c r="G47" s="1"/>
      <c r="H47" s="1">
        <f>SUM(OSRRefH22_4x_0)</f>
        <v>1205.6400000000001</v>
      </c>
      <c r="I47" s="1"/>
      <c r="J47" s="5">
        <f t="shared" si="24"/>
        <v>0.13241573823498401</v>
      </c>
      <c r="K47" s="1"/>
      <c r="L47" s="1">
        <f t="shared" si="25"/>
        <v>0</v>
      </c>
      <c r="M47" s="1"/>
      <c r="N47" s="5">
        <f t="shared" si="26"/>
        <v>0</v>
      </c>
      <c r="O47" s="14"/>
      <c r="P47" s="1">
        <f>SUM(OSRRefP22_4x_0)</f>
        <v>3616.92</v>
      </c>
      <c r="Q47" s="1"/>
      <c r="R47" s="5">
        <f t="shared" si="27"/>
        <v>4.82175123159342E-2</v>
      </c>
      <c r="S47" s="1"/>
      <c r="T47" s="1">
        <f>SUM(OSRRefT22_4x_0)</f>
        <v>3616.92</v>
      </c>
      <c r="U47" s="1"/>
      <c r="V47" s="5">
        <f t="shared" si="28"/>
        <v>5.8833614467826235E-2</v>
      </c>
      <c r="W47" s="1"/>
      <c r="X47" s="1">
        <f t="shared" si="29"/>
        <v>0</v>
      </c>
      <c r="Y47" s="1"/>
      <c r="Z47" s="5">
        <f t="shared" si="30"/>
        <v>0</v>
      </c>
    </row>
    <row r="48" spans="1:26" s="24" customFormat="1" hidden="1" outlineLevel="2" x14ac:dyDescent="0.25">
      <c r="A48" s="28"/>
      <c r="B48" s="11" t="str">
        <f>CONCATENATE("          ", "6351", " - ", "EQUIPMENT RENTAL")</f>
        <v xml:space="preserve">          6351 - EQUIPMENT RENTAL</v>
      </c>
      <c r="C48" s="11"/>
      <c r="D48" s="7">
        <v>1205.6400000000001</v>
      </c>
      <c r="E48" s="2"/>
      <c r="F48" s="6">
        <f t="shared" si="23"/>
        <v>7.290600239101501E-2</v>
      </c>
      <c r="G48" s="2"/>
      <c r="H48" s="7">
        <v>1205.6400000000001</v>
      </c>
      <c r="I48" s="2"/>
      <c r="J48" s="6">
        <f t="shared" si="24"/>
        <v>0.13241573823498401</v>
      </c>
      <c r="K48" s="2"/>
      <c r="L48" s="7">
        <f t="shared" si="25"/>
        <v>0</v>
      </c>
      <c r="M48" s="2"/>
      <c r="N48" s="6">
        <f t="shared" si="26"/>
        <v>0</v>
      </c>
      <c r="O48" s="11"/>
      <c r="P48" s="7">
        <v>3616.92</v>
      </c>
      <c r="Q48" s="2"/>
      <c r="R48" s="6">
        <f t="shared" si="27"/>
        <v>4.82175123159342E-2</v>
      </c>
      <c r="S48" s="2"/>
      <c r="T48" s="7">
        <v>3616.92</v>
      </c>
      <c r="U48" s="2"/>
      <c r="V48" s="6">
        <f t="shared" si="28"/>
        <v>5.8833614467826235E-2</v>
      </c>
      <c r="W48" s="2"/>
      <c r="X48" s="7">
        <f t="shared" si="29"/>
        <v>0</v>
      </c>
      <c r="Y48" s="2"/>
      <c r="Z48" s="6">
        <f t="shared" si="30"/>
        <v>0</v>
      </c>
    </row>
    <row r="49" spans="1:26" s="27" customFormat="1" outlineLevel="1" collapsed="1" x14ac:dyDescent="0.25">
      <c r="A49" s="29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SUM(OSRRefD22_5x_0)</f>
        <v>3500.9700000000012</v>
      </c>
      <c r="E49" s="1"/>
      <c r="F49" s="5">
        <f t="shared" si="23"/>
        <v>0.21170641915569482</v>
      </c>
      <c r="G49" s="1"/>
      <c r="H49" s="1">
        <f>SUM(OSRRefH22_5x_0)</f>
        <v>-6321.6000000000013</v>
      </c>
      <c r="I49" s="1"/>
      <c r="J49" s="5">
        <f t="shared" si="24"/>
        <v>-0.69430288546023278</v>
      </c>
      <c r="K49" s="1"/>
      <c r="L49" s="1">
        <f t="shared" si="25"/>
        <v>9822.5700000000033</v>
      </c>
      <c r="M49" s="1"/>
      <c r="N49" s="5">
        <f t="shared" si="26"/>
        <v>-1.5538107441154141</v>
      </c>
      <c r="O49" s="14"/>
      <c r="P49" s="1">
        <f>SUM(OSRRefP22_5x_0)</f>
        <v>-14403.119999999999</v>
      </c>
      <c r="Q49" s="1"/>
      <c r="R49" s="5">
        <f t="shared" si="27"/>
        <v>-0.19200939362437602</v>
      </c>
      <c r="S49" s="1"/>
      <c r="T49" s="1">
        <f>SUM(OSRRefT22_5x_0)</f>
        <v>-82000.679999999993</v>
      </c>
      <c r="U49" s="1"/>
      <c r="V49" s="5">
        <f t="shared" si="28"/>
        <v>-1.3338410562632264</v>
      </c>
      <c r="W49" s="1"/>
      <c r="X49" s="1">
        <f t="shared" si="29"/>
        <v>67597.56</v>
      </c>
      <c r="Y49" s="1"/>
      <c r="Z49" s="5">
        <f t="shared" si="30"/>
        <v>-0.82435365170142494</v>
      </c>
    </row>
    <row r="50" spans="1:26" s="24" customFormat="1" hidden="1" outlineLevel="2" x14ac:dyDescent="0.25">
      <c r="A50" s="28"/>
      <c r="B50" s="11" t="str">
        <f>CONCATENATE("          ", "6305", " - ", "FREIGHT OUT")</f>
        <v xml:space="preserve">          6305 - FREIGHT OUT</v>
      </c>
      <c r="C50" s="11"/>
      <c r="D50" s="7">
        <v>13197.43</v>
      </c>
      <c r="E50" s="2"/>
      <c r="F50" s="6">
        <f t="shared" si="23"/>
        <v>0.79805900860559809</v>
      </c>
      <c r="G50" s="2"/>
      <c r="H50" s="7">
        <v>5262.44</v>
      </c>
      <c r="I50" s="2"/>
      <c r="J50" s="6">
        <f t="shared" si="24"/>
        <v>0.57797508171370315</v>
      </c>
      <c r="K50" s="2"/>
      <c r="L50" s="7">
        <f t="shared" si="25"/>
        <v>7934.9900000000007</v>
      </c>
      <c r="M50" s="2"/>
      <c r="N50" s="6">
        <f t="shared" si="26"/>
        <v>1.5078537712543993</v>
      </c>
      <c r="O50" s="11"/>
      <c r="P50" s="7">
        <v>27328.74</v>
      </c>
      <c r="Q50" s="2"/>
      <c r="R50" s="6">
        <f t="shared" si="27"/>
        <v>0.36432209104126262</v>
      </c>
      <c r="S50" s="2"/>
      <c r="T50" s="7">
        <v>25040.79</v>
      </c>
      <c r="U50" s="2"/>
      <c r="V50" s="6">
        <f t="shared" si="28"/>
        <v>0.40731898544336026</v>
      </c>
      <c r="W50" s="2"/>
      <c r="X50" s="7">
        <f t="shared" si="29"/>
        <v>2287.9500000000007</v>
      </c>
      <c r="Y50" s="2"/>
      <c r="Z50" s="6">
        <f t="shared" si="30"/>
        <v>9.1368922466104327E-2</v>
      </c>
    </row>
    <row r="51" spans="1:26" s="24" customFormat="1" hidden="1" outlineLevel="2" x14ac:dyDescent="0.25">
      <c r="A51" s="28"/>
      <c r="B51" s="11" t="str">
        <f>CONCATENATE("          ", "6307", " - ", "POSTAGE")</f>
        <v xml:space="preserve">          6307 - POSTAGE</v>
      </c>
      <c r="C51" s="11"/>
      <c r="D51" s="7">
        <v>-9696.4599999999991</v>
      </c>
      <c r="E51" s="2"/>
      <c r="F51" s="6">
        <f t="shared" si="23"/>
        <v>-0.58635258944990321</v>
      </c>
      <c r="G51" s="2"/>
      <c r="H51" s="7">
        <v>-11584.04</v>
      </c>
      <c r="I51" s="2"/>
      <c r="J51" s="6">
        <f t="shared" si="24"/>
        <v>-1.2722779671739359</v>
      </c>
      <c r="K51" s="2"/>
      <c r="L51" s="7">
        <f t="shared" si="25"/>
        <v>1887.5800000000017</v>
      </c>
      <c r="M51" s="2"/>
      <c r="N51" s="6">
        <f t="shared" si="26"/>
        <v>-0.16294660584735562</v>
      </c>
      <c r="O51" s="11"/>
      <c r="P51" s="7">
        <v>-41731.86</v>
      </c>
      <c r="Q51" s="2"/>
      <c r="R51" s="6">
        <f t="shared" si="27"/>
        <v>-0.55633148466563864</v>
      </c>
      <c r="S51" s="2"/>
      <c r="T51" s="7">
        <v>-107041.47</v>
      </c>
      <c r="U51" s="2"/>
      <c r="V51" s="6">
        <f t="shared" si="28"/>
        <v>-1.7411600417065867</v>
      </c>
      <c r="W51" s="2"/>
      <c r="X51" s="7">
        <f t="shared" si="29"/>
        <v>65309.61</v>
      </c>
      <c r="Y51" s="2"/>
      <c r="Z51" s="6">
        <f t="shared" si="30"/>
        <v>-0.61013371733403887</v>
      </c>
    </row>
    <row r="52" spans="1:26" s="27" customFormat="1" outlineLevel="1" collapsed="1" x14ac:dyDescent="0.25">
      <c r="A52" s="29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SUM(OSRRefD22_6x_0)</f>
        <v>91.31</v>
      </c>
      <c r="E52" s="1"/>
      <c r="F52" s="5">
        <f t="shared" ref="F52:F56" si="31">IF(D$12=0,0,D52/D$12)</f>
        <v>5.521587769420043E-3</v>
      </c>
      <c r="G52" s="1"/>
      <c r="H52" s="1">
        <f>SUM(OSRRefH22_6x_0)</f>
        <v>0</v>
      </c>
      <c r="I52" s="1"/>
      <c r="J52" s="5">
        <f t="shared" ref="J52:J56" si="32">IF(H$12=0,0,H52/H$12)</f>
        <v>0</v>
      </c>
      <c r="K52" s="1"/>
      <c r="L52" s="1">
        <f t="shared" ref="L52:L56" si="33">+D52-H52</f>
        <v>91.31</v>
      </c>
      <c r="M52" s="1"/>
      <c r="N52" s="5">
        <f t="shared" ref="N52:N56" si="34">IF(H52=0,0,L52/H52)</f>
        <v>0</v>
      </c>
      <c r="O52" s="14"/>
      <c r="P52" s="1">
        <f>SUM(OSRRefP22_6x_0)</f>
        <v>91.31</v>
      </c>
      <c r="Q52" s="1"/>
      <c r="R52" s="5">
        <f t="shared" ref="R52:R56" si="35">IF(P$12=0,0,P52/P$12)</f>
        <v>1.2172624911714806E-3</v>
      </c>
      <c r="S52" s="1"/>
      <c r="T52" s="1">
        <f>SUM(OSRRefT22_6x_0)</f>
        <v>0</v>
      </c>
      <c r="U52" s="1"/>
      <c r="V52" s="5">
        <f t="shared" ref="V52:V56" si="36">IF(T$12=0,0,T52/T$12)</f>
        <v>0</v>
      </c>
      <c r="W52" s="1"/>
      <c r="X52" s="1">
        <f t="shared" ref="X52:X56" si="37">+P52-T52</f>
        <v>91.31</v>
      </c>
      <c r="Y52" s="1"/>
      <c r="Z52" s="5">
        <f t="shared" ref="Z52:Z56" si="38">IF(T52=0,0,X52/T52)</f>
        <v>0</v>
      </c>
    </row>
    <row r="53" spans="1:26" s="24" customFormat="1" hidden="1" outlineLevel="2" x14ac:dyDescent="0.25">
      <c r="A53" s="28"/>
      <c r="B53" s="11" t="str">
        <f>CONCATENATE("          ", "6279", " - ", "GENERAL EXPENSE")</f>
        <v xml:space="preserve">          6279 - GENERAL EXPENSE</v>
      </c>
      <c r="C53" s="11"/>
      <c r="D53" s="7">
        <v>91.31</v>
      </c>
      <c r="E53" s="2"/>
      <c r="F53" s="6">
        <f t="shared" si="31"/>
        <v>5.521587769420043E-3</v>
      </c>
      <c r="G53" s="2"/>
      <c r="H53" s="7"/>
      <c r="I53" s="2"/>
      <c r="J53" s="6">
        <f t="shared" si="32"/>
        <v>0</v>
      </c>
      <c r="K53" s="2"/>
      <c r="L53" s="7">
        <f t="shared" si="33"/>
        <v>91.31</v>
      </c>
      <c r="M53" s="2"/>
      <c r="N53" s="6">
        <f t="shared" si="34"/>
        <v>0</v>
      </c>
      <c r="O53" s="11"/>
      <c r="P53" s="7">
        <v>91.31</v>
      </c>
      <c r="Q53" s="2"/>
      <c r="R53" s="6">
        <f t="shared" si="35"/>
        <v>1.2172624911714806E-3</v>
      </c>
      <c r="S53" s="2"/>
      <c r="T53" s="7"/>
      <c r="U53" s="2"/>
      <c r="V53" s="6">
        <f t="shared" si="36"/>
        <v>0</v>
      </c>
      <c r="W53" s="2"/>
      <c r="X53" s="7">
        <f t="shared" si="37"/>
        <v>91.31</v>
      </c>
      <c r="Y53" s="2"/>
      <c r="Z53" s="6">
        <f t="shared" si="38"/>
        <v>0</v>
      </c>
    </row>
    <row r="54" spans="1:26" s="27" customFormat="1" outlineLevel="1" collapsed="1" x14ac:dyDescent="0.25">
      <c r="A54" s="29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SUM(OSRRefD22_7x_0)</f>
        <v>0</v>
      </c>
      <c r="E54" s="1"/>
      <c r="F54" s="5">
        <f t="shared" si="31"/>
        <v>0</v>
      </c>
      <c r="G54" s="1"/>
      <c r="H54" s="1">
        <f>SUM(OSRRefH22_7x_0)</f>
        <v>7243.55</v>
      </c>
      <c r="I54" s="1"/>
      <c r="J54" s="5">
        <f t="shared" si="32"/>
        <v>0.79556088110216838</v>
      </c>
      <c r="K54" s="1"/>
      <c r="L54" s="1">
        <f t="shared" si="33"/>
        <v>-7243.55</v>
      </c>
      <c r="M54" s="1"/>
      <c r="N54" s="5">
        <f t="shared" si="34"/>
        <v>-1</v>
      </c>
      <c r="O54" s="14"/>
      <c r="P54" s="1">
        <f>SUM(OSRRefP22_7x_0)</f>
        <v>4077.52</v>
      </c>
      <c r="Q54" s="1"/>
      <c r="R54" s="5">
        <f t="shared" si="35"/>
        <v>5.4357815715710606E-2</v>
      </c>
      <c r="S54" s="1"/>
      <c r="T54" s="1">
        <f>SUM(OSRRefT22_7x_0)</f>
        <v>18846.669999999998</v>
      </c>
      <c r="U54" s="1"/>
      <c r="V54" s="5">
        <f t="shared" si="36"/>
        <v>0.30656407019849663</v>
      </c>
      <c r="W54" s="1"/>
      <c r="X54" s="1">
        <f t="shared" si="37"/>
        <v>-14769.149999999998</v>
      </c>
      <c r="Y54" s="1"/>
      <c r="Z54" s="5">
        <f t="shared" si="38"/>
        <v>-0.78364772132159155</v>
      </c>
    </row>
    <row r="55" spans="1:26" s="24" customFormat="1" hidden="1" outlineLevel="2" x14ac:dyDescent="0.25">
      <c r="A55" s="28"/>
      <c r="B55" s="11" t="str">
        <f>CONCATENATE("          ", "6373", " - ", "MAINTENANCE CONTRACTS")</f>
        <v xml:space="preserve">          6373 - MAINTENANCE CONTRACTS</v>
      </c>
      <c r="C55" s="11"/>
      <c r="D55" s="7"/>
      <c r="E55" s="2"/>
      <c r="F55" s="6">
        <f t="shared" si="31"/>
        <v>0</v>
      </c>
      <c r="G55" s="2"/>
      <c r="H55" s="7">
        <v>7243.55</v>
      </c>
      <c r="I55" s="2"/>
      <c r="J55" s="6">
        <f t="shared" si="32"/>
        <v>0.79556088110216838</v>
      </c>
      <c r="K55" s="2"/>
      <c r="L55" s="7">
        <f t="shared" si="33"/>
        <v>-7243.55</v>
      </c>
      <c r="M55" s="2"/>
      <c r="N55" s="6">
        <f t="shared" si="34"/>
        <v>-1</v>
      </c>
      <c r="O55" s="11"/>
      <c r="P55" s="7">
        <v>681.08</v>
      </c>
      <c r="Q55" s="2"/>
      <c r="R55" s="6">
        <f t="shared" si="35"/>
        <v>9.079543724532603E-3</v>
      </c>
      <c r="S55" s="2"/>
      <c r="T55" s="7">
        <v>18846.669999999998</v>
      </c>
      <c r="U55" s="2"/>
      <c r="V55" s="6">
        <f t="shared" si="36"/>
        <v>0.30656407019849663</v>
      </c>
      <c r="W55" s="2"/>
      <c r="X55" s="7">
        <f t="shared" si="37"/>
        <v>-18165.589999999997</v>
      </c>
      <c r="Y55" s="2"/>
      <c r="Z55" s="6">
        <f t="shared" si="38"/>
        <v>-0.9638620509617879</v>
      </c>
    </row>
    <row r="56" spans="1:26" s="24" customFormat="1" hidden="1" outlineLevel="2" x14ac:dyDescent="0.25">
      <c r="A56" s="28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31"/>
        <v>0</v>
      </c>
      <c r="G56" s="2"/>
      <c r="H56" s="7"/>
      <c r="I56" s="2"/>
      <c r="J56" s="6">
        <f t="shared" si="32"/>
        <v>0</v>
      </c>
      <c r="K56" s="2"/>
      <c r="L56" s="7">
        <f t="shared" si="33"/>
        <v>0</v>
      </c>
      <c r="M56" s="2"/>
      <c r="N56" s="6">
        <f t="shared" si="34"/>
        <v>0</v>
      </c>
      <c r="O56" s="11"/>
      <c r="P56" s="7">
        <v>3396.44</v>
      </c>
      <c r="Q56" s="2"/>
      <c r="R56" s="6">
        <f t="shared" si="35"/>
        <v>4.5278271991178003E-2</v>
      </c>
      <c r="S56" s="2"/>
      <c r="T56" s="7"/>
      <c r="U56" s="2"/>
      <c r="V56" s="6">
        <f t="shared" si="36"/>
        <v>0</v>
      </c>
      <c r="W56" s="2"/>
      <c r="X56" s="7">
        <f t="shared" si="37"/>
        <v>3396.44</v>
      </c>
      <c r="Y56" s="2"/>
      <c r="Z56" s="6">
        <f t="shared" si="38"/>
        <v>0</v>
      </c>
    </row>
    <row r="57" spans="1:26" s="27" customFormat="1" outlineLevel="1" collapsed="1" x14ac:dyDescent="0.25">
      <c r="A57" s="29"/>
      <c r="B57" s="14" t="str">
        <f>CONCATENATE("     ","Royalty &amp; Commissions                             ")</f>
        <v xml:space="preserve">     Royalty &amp; Commissions                             </v>
      </c>
      <c r="C57" s="14"/>
      <c r="D57" s="1">
        <f>SUM(OSRRefD22_8x_0)</f>
        <v>1174.22</v>
      </c>
      <c r="E57" s="1"/>
      <c r="F57" s="5">
        <f t="shared" ref="F57:F64" si="39">IF(D$12=0,0,D57/D$12)</f>
        <v>7.1006010191746821E-2</v>
      </c>
      <c r="G57" s="1"/>
      <c r="H57" s="1">
        <f>SUM(OSRRefH22_8x_0)</f>
        <v>62.6</v>
      </c>
      <c r="I57" s="1"/>
      <c r="J57" s="5">
        <f t="shared" ref="J57:J64" si="40">IF(H$12=0,0,H57/H$12)</f>
        <v>6.8753734228376613E-3</v>
      </c>
      <c r="K57" s="1"/>
      <c r="L57" s="1">
        <f t="shared" ref="L57:L64" si="41">+D57-H57</f>
        <v>1111.6200000000001</v>
      </c>
      <c r="M57" s="1"/>
      <c r="N57" s="5">
        <f t="shared" ref="N57:N64" si="42">IF(H57=0,0,L57/H57)</f>
        <v>17.75750798722045</v>
      </c>
      <c r="O57" s="14"/>
      <c r="P57" s="1">
        <f>SUM(OSRRefP22_8x_0)</f>
        <v>1782.17</v>
      </c>
      <c r="Q57" s="1"/>
      <c r="R57" s="5">
        <f t="shared" ref="R57:R64" si="43">IF(P$12=0,0,P57/P$12)</f>
        <v>2.3758281610897793E-2</v>
      </c>
      <c r="S57" s="1"/>
      <c r="T57" s="1">
        <f>SUM(OSRRefT22_8x_0)</f>
        <v>5384.8</v>
      </c>
      <c r="U57" s="1"/>
      <c r="V57" s="5">
        <f t="shared" ref="V57:V64" si="44">IF(T$12=0,0,T57/T$12)</f>
        <v>8.7590338516293068E-2</v>
      </c>
      <c r="W57" s="1"/>
      <c r="X57" s="1">
        <f t="shared" ref="X57:X64" si="45">+P57-T57</f>
        <v>-3602.63</v>
      </c>
      <c r="Y57" s="1"/>
      <c r="Z57" s="5">
        <f t="shared" ref="Z57:Z64" si="46">IF(T57=0,0,X57/T57)</f>
        <v>-0.66903691873421478</v>
      </c>
    </row>
    <row r="58" spans="1:26" s="24" customFormat="1" hidden="1" outlineLevel="2" x14ac:dyDescent="0.25">
      <c r="A58" s="28"/>
      <c r="B58" s="11" t="str">
        <f>CONCATENATE("          ", "6259", " - ", "ROYALTY &amp; COMMISSIONS")</f>
        <v xml:space="preserve">          6259 - ROYALTY &amp; COMMISSIONS</v>
      </c>
      <c r="C58" s="11"/>
      <c r="D58" s="7">
        <v>1174.22</v>
      </c>
      <c r="E58" s="2"/>
      <c r="F58" s="6">
        <f t="shared" si="39"/>
        <v>7.1006010191746821E-2</v>
      </c>
      <c r="G58" s="2"/>
      <c r="H58" s="7">
        <v>62.6</v>
      </c>
      <c r="I58" s="2"/>
      <c r="J58" s="6">
        <f t="shared" si="40"/>
        <v>6.8753734228376613E-3</v>
      </c>
      <c r="K58" s="2"/>
      <c r="L58" s="7">
        <f t="shared" si="41"/>
        <v>1111.6200000000001</v>
      </c>
      <c r="M58" s="2"/>
      <c r="N58" s="6">
        <f t="shared" si="42"/>
        <v>17.75750798722045</v>
      </c>
      <c r="O58" s="11"/>
      <c r="P58" s="7">
        <v>1782.17</v>
      </c>
      <c r="Q58" s="2"/>
      <c r="R58" s="6">
        <f t="shared" si="43"/>
        <v>2.3758281610897793E-2</v>
      </c>
      <c r="S58" s="2"/>
      <c r="T58" s="7">
        <v>5384.8</v>
      </c>
      <c r="U58" s="2"/>
      <c r="V58" s="6">
        <f t="shared" si="44"/>
        <v>8.7590338516293068E-2</v>
      </c>
      <c r="W58" s="2"/>
      <c r="X58" s="7">
        <f t="shared" si="45"/>
        <v>-3602.63</v>
      </c>
      <c r="Y58" s="2"/>
      <c r="Z58" s="6">
        <f t="shared" si="46"/>
        <v>-0.66903691873421478</v>
      </c>
    </row>
    <row r="59" spans="1:26" s="27" customFormat="1" outlineLevel="1" collapsed="1" x14ac:dyDescent="0.25">
      <c r="A59" s="29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SUM(OSRRefD22_9x_0)</f>
        <v>2879.46</v>
      </c>
      <c r="E59" s="1"/>
      <c r="F59" s="5">
        <f t="shared" si="39"/>
        <v>0.17412321890849017</v>
      </c>
      <c r="G59" s="1"/>
      <c r="H59" s="1">
        <f>SUM(OSRRefH22_9x_0)</f>
        <v>10677.67</v>
      </c>
      <c r="I59" s="1"/>
      <c r="J59" s="5">
        <f t="shared" si="40"/>
        <v>1.1727311267704634</v>
      </c>
      <c r="K59" s="1"/>
      <c r="L59" s="1">
        <f t="shared" si="41"/>
        <v>-7798.21</v>
      </c>
      <c r="M59" s="1"/>
      <c r="N59" s="5">
        <f t="shared" si="42"/>
        <v>-0.73032880768931796</v>
      </c>
      <c r="O59" s="14"/>
      <c r="P59" s="1">
        <f>SUM(OSRRefP22_9x_0)</f>
        <v>13039.11</v>
      </c>
      <c r="Q59" s="1"/>
      <c r="R59" s="5">
        <f t="shared" si="43"/>
        <v>0.17382564364537251</v>
      </c>
      <c r="S59" s="1"/>
      <c r="T59" s="1">
        <f>SUM(OSRRefT22_9x_0)</f>
        <v>19608.690000000002</v>
      </c>
      <c r="U59" s="1"/>
      <c r="V59" s="5">
        <f t="shared" si="44"/>
        <v>0.31895925474688952</v>
      </c>
      <c r="W59" s="1"/>
      <c r="X59" s="1">
        <f t="shared" si="45"/>
        <v>-6569.5800000000017</v>
      </c>
      <c r="Y59" s="1"/>
      <c r="Z59" s="5">
        <f t="shared" si="46"/>
        <v>-0.33503410987679449</v>
      </c>
    </row>
    <row r="60" spans="1:26" s="24" customFormat="1" hidden="1" outlineLevel="2" x14ac:dyDescent="0.25">
      <c r="A60" s="28"/>
      <c r="B60" s="11" t="str">
        <f>CONCATENATE("          ", "6235", " - ", "COVID-19 EXPENSES")</f>
        <v xml:space="preserve">          6235 - COVID-19 EXPENSES</v>
      </c>
      <c r="C60" s="11"/>
      <c r="D60" s="7"/>
      <c r="E60" s="2"/>
      <c r="F60" s="6">
        <f t="shared" si="39"/>
        <v>0</v>
      </c>
      <c r="G60" s="2"/>
      <c r="H60" s="7"/>
      <c r="I60" s="2"/>
      <c r="J60" s="6">
        <f t="shared" si="40"/>
        <v>0</v>
      </c>
      <c r="K60" s="2"/>
      <c r="L60" s="7">
        <f t="shared" si="41"/>
        <v>0</v>
      </c>
      <c r="M60" s="2"/>
      <c r="N60" s="6">
        <f t="shared" si="42"/>
        <v>0</v>
      </c>
      <c r="O60" s="11"/>
      <c r="P60" s="7"/>
      <c r="Q60" s="2"/>
      <c r="R60" s="6">
        <f t="shared" si="43"/>
        <v>0</v>
      </c>
      <c r="S60" s="2"/>
      <c r="T60" s="7">
        <v>310.91000000000003</v>
      </c>
      <c r="U60" s="2"/>
      <c r="V60" s="6">
        <f t="shared" si="44"/>
        <v>5.057330290465881E-3</v>
      </c>
      <c r="W60" s="2"/>
      <c r="X60" s="7">
        <f t="shared" si="45"/>
        <v>-310.91000000000003</v>
      </c>
      <c r="Y60" s="2"/>
      <c r="Z60" s="6">
        <f t="shared" si="46"/>
        <v>-1</v>
      </c>
    </row>
    <row r="61" spans="1:26" s="24" customFormat="1" hidden="1" outlineLevel="2" x14ac:dyDescent="0.25">
      <c r="A61" s="28"/>
      <c r="B61" s="11" t="str">
        <f>CONCATENATE("          ", "6241", " - ", "OFFICE EXPENSE")</f>
        <v xml:space="preserve">          6241 - OFFICE EXPENSE</v>
      </c>
      <c r="C61" s="11"/>
      <c r="D61" s="7">
        <v>2.19</v>
      </c>
      <c r="E61" s="2"/>
      <c r="F61" s="6">
        <f t="shared" si="39"/>
        <v>1.3243102852951368E-4</v>
      </c>
      <c r="G61" s="2"/>
      <c r="H61" s="7">
        <v>4590.26</v>
      </c>
      <c r="I61" s="2"/>
      <c r="J61" s="6">
        <f t="shared" si="40"/>
        <v>0.50414938670790421</v>
      </c>
      <c r="K61" s="2"/>
      <c r="L61" s="7">
        <f t="shared" si="41"/>
        <v>-4588.0700000000006</v>
      </c>
      <c r="M61" s="2"/>
      <c r="N61" s="6">
        <f t="shared" si="42"/>
        <v>-0.99952290284210488</v>
      </c>
      <c r="O61" s="11"/>
      <c r="P61" s="7">
        <v>4831.75</v>
      </c>
      <c r="Q61" s="2"/>
      <c r="R61" s="6">
        <f t="shared" si="43"/>
        <v>6.4412529205101321E-2</v>
      </c>
      <c r="S61" s="2"/>
      <c r="T61" s="7">
        <v>4590.26</v>
      </c>
      <c r="U61" s="2"/>
      <c r="V61" s="6">
        <f t="shared" si="44"/>
        <v>7.466617651125379E-2</v>
      </c>
      <c r="W61" s="2"/>
      <c r="X61" s="7">
        <f t="shared" si="45"/>
        <v>241.48999999999978</v>
      </c>
      <c r="Y61" s="2"/>
      <c r="Z61" s="6">
        <f t="shared" si="46"/>
        <v>5.2609220392744585E-2</v>
      </c>
    </row>
    <row r="62" spans="1:26" s="24" customFormat="1" hidden="1" outlineLevel="2" x14ac:dyDescent="0.25">
      <c r="A62" s="28"/>
      <c r="B62" s="11" t="str">
        <f>CONCATENATE("          ", "6243", " - ", "PAPER SUPPLIES")</f>
        <v xml:space="preserve">          6243 - PAPER SUPPLIES</v>
      </c>
      <c r="C62" s="11"/>
      <c r="D62" s="7"/>
      <c r="E62" s="2"/>
      <c r="F62" s="6">
        <f t="shared" si="39"/>
        <v>0</v>
      </c>
      <c r="G62" s="2"/>
      <c r="H62" s="7"/>
      <c r="I62" s="2"/>
      <c r="J62" s="6">
        <f t="shared" si="40"/>
        <v>0</v>
      </c>
      <c r="K62" s="2"/>
      <c r="L62" s="7">
        <f t="shared" si="41"/>
        <v>0</v>
      </c>
      <c r="M62" s="2"/>
      <c r="N62" s="6">
        <f t="shared" si="42"/>
        <v>0</v>
      </c>
      <c r="O62" s="11"/>
      <c r="P62" s="7">
        <v>3450.92</v>
      </c>
      <c r="Q62" s="2"/>
      <c r="R62" s="6">
        <f t="shared" si="43"/>
        <v>4.6004550170118126E-2</v>
      </c>
      <c r="S62" s="2"/>
      <c r="T62" s="7">
        <v>3124.69</v>
      </c>
      <c r="U62" s="2"/>
      <c r="V62" s="6">
        <f t="shared" si="44"/>
        <v>5.082689326594781E-2</v>
      </c>
      <c r="W62" s="2"/>
      <c r="X62" s="7">
        <f t="shared" si="45"/>
        <v>326.23</v>
      </c>
      <c r="Y62" s="2"/>
      <c r="Z62" s="6">
        <f t="shared" si="46"/>
        <v>0.10440395687252176</v>
      </c>
    </row>
    <row r="63" spans="1:26" s="24" customFormat="1" hidden="1" outlineLevel="2" x14ac:dyDescent="0.25">
      <c r="A63" s="28"/>
      <c r="B63" s="11" t="str">
        <f>CONCATENATE("          ", "6245", " - ", "PRINTING")</f>
        <v xml:space="preserve">          6245 - PRINTING</v>
      </c>
      <c r="C63" s="11"/>
      <c r="D63" s="7">
        <v>276.43</v>
      </c>
      <c r="E63" s="2"/>
      <c r="F63" s="6">
        <f t="shared" si="39"/>
        <v>1.6715940281467338E-2</v>
      </c>
      <c r="G63" s="2"/>
      <c r="H63" s="7">
        <v>288.3</v>
      </c>
      <c r="I63" s="2"/>
      <c r="J63" s="6">
        <f t="shared" si="40"/>
        <v>3.1664060028819455E-2</v>
      </c>
      <c r="K63" s="2"/>
      <c r="L63" s="7">
        <f t="shared" si="41"/>
        <v>-11.870000000000005</v>
      </c>
      <c r="M63" s="2"/>
      <c r="N63" s="6">
        <f t="shared" si="42"/>
        <v>-4.1172389871661476E-2</v>
      </c>
      <c r="O63" s="11"/>
      <c r="P63" s="7">
        <v>-659.07</v>
      </c>
      <c r="Q63" s="2"/>
      <c r="R63" s="6">
        <f t="shared" si="43"/>
        <v>-8.7861262737530151E-3</v>
      </c>
      <c r="S63" s="2"/>
      <c r="T63" s="7">
        <v>-7.2</v>
      </c>
      <c r="U63" s="2"/>
      <c r="V63" s="6">
        <f t="shared" si="44"/>
        <v>-1.1711678006932663E-4</v>
      </c>
      <c r="W63" s="2"/>
      <c r="X63" s="7">
        <f t="shared" si="45"/>
        <v>-651.87</v>
      </c>
      <c r="Y63" s="2"/>
      <c r="Z63" s="6">
        <f t="shared" si="46"/>
        <v>90.537499999999994</v>
      </c>
    </row>
    <row r="64" spans="1:26" s="24" customFormat="1" hidden="1" outlineLevel="2" x14ac:dyDescent="0.25">
      <c r="A64" s="28"/>
      <c r="B64" s="11" t="str">
        <f>CONCATENATE("          ", "6247", " - ", "STORE SUPPLIES")</f>
        <v xml:space="preserve">          6247 - STORE SUPPLIES</v>
      </c>
      <c r="C64" s="11"/>
      <c r="D64" s="7">
        <v>2600.84</v>
      </c>
      <c r="E64" s="2"/>
      <c r="F64" s="6">
        <f t="shared" si="39"/>
        <v>0.15727484759849333</v>
      </c>
      <c r="G64" s="2"/>
      <c r="H64" s="7">
        <v>5799.11</v>
      </c>
      <c r="I64" s="2"/>
      <c r="J64" s="6">
        <f t="shared" si="40"/>
        <v>0.63691768003373972</v>
      </c>
      <c r="K64" s="2"/>
      <c r="L64" s="7">
        <f t="shared" si="41"/>
        <v>-3198.2699999999995</v>
      </c>
      <c r="M64" s="2"/>
      <c r="N64" s="6">
        <f t="shared" si="42"/>
        <v>-0.55151049040283762</v>
      </c>
      <c r="O64" s="11"/>
      <c r="P64" s="7">
        <v>5415.51</v>
      </c>
      <c r="Q64" s="2"/>
      <c r="R64" s="6">
        <f t="shared" si="43"/>
        <v>7.2194690543906093E-2</v>
      </c>
      <c r="S64" s="2"/>
      <c r="T64" s="7">
        <v>11590.03</v>
      </c>
      <c r="U64" s="2"/>
      <c r="V64" s="6">
        <f t="shared" si="44"/>
        <v>0.18852597145929137</v>
      </c>
      <c r="W64" s="2"/>
      <c r="X64" s="7">
        <f t="shared" si="45"/>
        <v>-6174.52</v>
      </c>
      <c r="Y64" s="2"/>
      <c r="Z64" s="6">
        <f t="shared" si="46"/>
        <v>-0.5327440912577448</v>
      </c>
    </row>
    <row r="65" spans="1:26" s="27" customFormat="1" outlineLevel="1" collapsed="1" x14ac:dyDescent="0.25">
      <c r="A65" s="29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SUM(OSRRefD22_10x_0)</f>
        <v>159.4</v>
      </c>
      <c r="E65" s="1"/>
      <c r="F65" s="5">
        <f t="shared" ref="F65:F68" si="47">IF(D$12=0,0,D65/D$12)</f>
        <v>9.6390438116915438E-3</v>
      </c>
      <c r="G65" s="1"/>
      <c r="H65" s="1">
        <f>SUM(OSRRefH22_10x_0)</f>
        <v>265</v>
      </c>
      <c r="I65" s="1"/>
      <c r="J65" s="5">
        <f t="shared" ref="J65:J68" si="48">IF(H$12=0,0,H65/H$12)</f>
        <v>2.9105015288370291E-2</v>
      </c>
      <c r="K65" s="1"/>
      <c r="L65" s="1">
        <f t="shared" ref="L65:L68" si="49">+D65-H65</f>
        <v>-105.6</v>
      </c>
      <c r="M65" s="1"/>
      <c r="N65" s="5">
        <f t="shared" ref="N65:N68" si="50">IF(H65=0,0,L65/H65)</f>
        <v>-0.3984905660377358</v>
      </c>
      <c r="O65" s="14"/>
      <c r="P65" s="1">
        <f>SUM(OSRRefP22_10x_0)</f>
        <v>486.7</v>
      </c>
      <c r="Q65" s="1"/>
      <c r="R65" s="5">
        <f t="shared" ref="R65:R68" si="51">IF(P$12=0,0,P65/P$12)</f>
        <v>6.4882450383655635E-3</v>
      </c>
      <c r="S65" s="1"/>
      <c r="T65" s="1">
        <f>SUM(OSRRefT22_10x_0)</f>
        <v>665.75</v>
      </c>
      <c r="U65" s="1"/>
      <c r="V65" s="5">
        <f t="shared" ref="V65:V68" si="52">IF(T$12=0,0,T65/T$12)</f>
        <v>1.0829235601549195E-2</v>
      </c>
      <c r="W65" s="1"/>
      <c r="X65" s="1">
        <f t="shared" ref="X65:X68" si="53">+P65-T65</f>
        <v>-179.05</v>
      </c>
      <c r="Y65" s="1"/>
      <c r="Z65" s="5">
        <f t="shared" ref="Z65:Z68" si="54">IF(T65=0,0,X65/T65)</f>
        <v>-0.26894479909876079</v>
      </c>
    </row>
    <row r="66" spans="1:26" s="24" customFormat="1" hidden="1" outlineLevel="2" x14ac:dyDescent="0.25">
      <c r="A66" s="28"/>
      <c r="B66" s="11" t="str">
        <f>CONCATENATE("          ", "6309", " - ", "TELEPHONE")</f>
        <v xml:space="preserve">          6309 - TELEPHONE</v>
      </c>
      <c r="C66" s="11"/>
      <c r="D66" s="7">
        <v>159.4</v>
      </c>
      <c r="E66" s="2"/>
      <c r="F66" s="6">
        <f t="shared" si="47"/>
        <v>9.6390438116915438E-3</v>
      </c>
      <c r="G66" s="2"/>
      <c r="H66" s="7">
        <v>265</v>
      </c>
      <c r="I66" s="2"/>
      <c r="J66" s="6">
        <f t="shared" si="48"/>
        <v>2.9105015288370291E-2</v>
      </c>
      <c r="K66" s="2"/>
      <c r="L66" s="7">
        <f t="shared" si="49"/>
        <v>-105.6</v>
      </c>
      <c r="M66" s="2"/>
      <c r="N66" s="6">
        <f t="shared" si="50"/>
        <v>-0.3984905660377358</v>
      </c>
      <c r="O66" s="11"/>
      <c r="P66" s="7">
        <v>486.7</v>
      </c>
      <c r="Q66" s="2"/>
      <c r="R66" s="6">
        <f t="shared" si="51"/>
        <v>6.4882450383655635E-3</v>
      </c>
      <c r="S66" s="2"/>
      <c r="T66" s="7">
        <v>665.75</v>
      </c>
      <c r="U66" s="2"/>
      <c r="V66" s="6">
        <f t="shared" si="52"/>
        <v>1.0829235601549195E-2</v>
      </c>
      <c r="W66" s="2"/>
      <c r="X66" s="7">
        <f t="shared" si="53"/>
        <v>-179.05</v>
      </c>
      <c r="Y66" s="2"/>
      <c r="Z66" s="6">
        <f t="shared" si="54"/>
        <v>-0.26894479909876079</v>
      </c>
    </row>
    <row r="67" spans="1:26" s="27" customFormat="1" outlineLevel="1" collapsed="1" x14ac:dyDescent="0.25">
      <c r="A67" s="29"/>
      <c r="B67" s="14" t="str">
        <f>CONCATENATE("     ","Utilities                                         ")</f>
        <v xml:space="preserve">     Utilities                                         </v>
      </c>
      <c r="C67" s="14"/>
      <c r="D67" s="1">
        <f>SUM(OSRRefD22_11x_0)</f>
        <v>0</v>
      </c>
      <c r="E67" s="1"/>
      <c r="F67" s="5">
        <f t="shared" si="47"/>
        <v>0</v>
      </c>
      <c r="G67" s="1"/>
      <c r="H67" s="1">
        <f>SUM(OSRRefH22_11x_0)</f>
        <v>0</v>
      </c>
      <c r="I67" s="1"/>
      <c r="J67" s="5">
        <f t="shared" si="48"/>
        <v>0</v>
      </c>
      <c r="K67" s="1"/>
      <c r="L67" s="1">
        <f t="shared" si="49"/>
        <v>0</v>
      </c>
      <c r="M67" s="1"/>
      <c r="N67" s="5">
        <f t="shared" si="50"/>
        <v>0</v>
      </c>
      <c r="O67" s="14"/>
      <c r="P67" s="1">
        <f>SUM(OSRRefP22_11x_0)</f>
        <v>0</v>
      </c>
      <c r="Q67" s="1"/>
      <c r="R67" s="5">
        <f t="shared" si="51"/>
        <v>0</v>
      </c>
      <c r="S67" s="1"/>
      <c r="T67" s="1">
        <f>SUM(OSRRefT22_11x_0)</f>
        <v>15.02</v>
      </c>
      <c r="U67" s="1"/>
      <c r="V67" s="5">
        <f t="shared" si="52"/>
        <v>2.443186162001786E-4</v>
      </c>
      <c r="W67" s="1"/>
      <c r="X67" s="1">
        <f t="shared" si="53"/>
        <v>-15.02</v>
      </c>
      <c r="Y67" s="1"/>
      <c r="Z67" s="5">
        <f t="shared" si="54"/>
        <v>-1</v>
      </c>
    </row>
    <row r="68" spans="1:26" s="24" customFormat="1" hidden="1" outlineLevel="2" x14ac:dyDescent="0.25">
      <c r="A68" s="28"/>
      <c r="B68" s="11" t="str">
        <f>CONCATENATE("          ", "6274", " - ", "UTILITIES")</f>
        <v xml:space="preserve">          6274 - UTILITIES</v>
      </c>
      <c r="C68" s="11"/>
      <c r="D68" s="7"/>
      <c r="E68" s="2"/>
      <c r="F68" s="6">
        <f t="shared" si="47"/>
        <v>0</v>
      </c>
      <c r="G68" s="2"/>
      <c r="H68" s="7"/>
      <c r="I68" s="2"/>
      <c r="J68" s="6">
        <f t="shared" si="48"/>
        <v>0</v>
      </c>
      <c r="K68" s="2"/>
      <c r="L68" s="7">
        <f t="shared" si="49"/>
        <v>0</v>
      </c>
      <c r="M68" s="2"/>
      <c r="N68" s="6">
        <f t="shared" si="50"/>
        <v>0</v>
      </c>
      <c r="O68" s="11"/>
      <c r="P68" s="7"/>
      <c r="Q68" s="2"/>
      <c r="R68" s="6">
        <f t="shared" si="51"/>
        <v>0</v>
      </c>
      <c r="S68" s="2"/>
      <c r="T68" s="7">
        <v>15.02</v>
      </c>
      <c r="U68" s="2"/>
      <c r="V68" s="6">
        <f t="shared" si="52"/>
        <v>2.443186162001786E-4</v>
      </c>
      <c r="W68" s="2"/>
      <c r="X68" s="7">
        <f t="shared" si="53"/>
        <v>-15.02</v>
      </c>
      <c r="Y68" s="2"/>
      <c r="Z68" s="6">
        <f t="shared" si="54"/>
        <v>-1</v>
      </c>
    </row>
    <row r="69" spans="1:26" s="54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collapsed="1" x14ac:dyDescent="0.25">
      <c r="A70" s="10"/>
      <c r="B70" s="26" t="s">
        <v>292</v>
      </c>
      <c r="C70" s="10"/>
      <c r="D70" s="4">
        <f>SUM(OSRRefD25x_0)</f>
        <v>14899</v>
      </c>
      <c r="E70" s="4"/>
      <c r="F70" s="12">
        <f t="shared" ref="F70:F71" si="55">IF(D$12=0,0,D70/D$12)</f>
        <v>0.90095428952567314</v>
      </c>
      <c r="G70" s="4"/>
      <c r="H70" s="4">
        <f>SUM(OSRRefH25x_0)</f>
        <v>6782</v>
      </c>
      <c r="I70" s="4"/>
      <c r="J70" s="12">
        <f t="shared" ref="J70:J71" si="56">IF(H$12=0,0,H70/H$12)</f>
        <v>0.74486873088953709</v>
      </c>
      <c r="K70" s="4"/>
      <c r="L70" s="4">
        <f t="shared" ref="L70:L71" si="57">+D70-H70</f>
        <v>8117</v>
      </c>
      <c r="M70" s="4"/>
      <c r="N70" s="12">
        <f t="shared" ref="N70:N71" si="58">IF(H70=0,0,L70/H70)</f>
        <v>1.1968445886169272</v>
      </c>
      <c r="O70" s="10"/>
      <c r="P70" s="4">
        <f>SUM(OSRRefP25x_0)</f>
        <v>14899</v>
      </c>
      <c r="Q70" s="4"/>
      <c r="R70" s="12">
        <f t="shared" ref="R70:R71" si="59">IF(P$12=0,0,P70/P$12)</f>
        <v>0.19862001813562469</v>
      </c>
      <c r="S70" s="4"/>
      <c r="T70" s="4">
        <f>SUM(OSRRefT25x_0)</f>
        <v>20346</v>
      </c>
      <c r="U70" s="4"/>
      <c r="V70" s="12">
        <f t="shared" ref="V70:V71" si="60">IF(T$12=0,0,T70/T$12)</f>
        <v>0.33095250101257218</v>
      </c>
      <c r="W70" s="4"/>
      <c r="X70" s="4">
        <f t="shared" ref="X70:X71" si="61">+P70-T70</f>
        <v>-5447</v>
      </c>
      <c r="Y70" s="4"/>
      <c r="Z70" s="12">
        <f t="shared" ref="Z70:Z71" si="62">IF(T70=0,0,X70/T70)</f>
        <v>-0.26771847046102426</v>
      </c>
    </row>
    <row r="71" spans="1:26" s="24" customFormat="1" hidden="1" outlineLevel="1" x14ac:dyDescent="0.25">
      <c r="A71" s="44"/>
      <c r="B71" s="11" t="str">
        <f>CONCATENATE("          ", "9150", " - ", "MISC. INCOME")</f>
        <v xml:space="preserve">          9150 - MISC. INCOME</v>
      </c>
      <c r="C71" s="11"/>
      <c r="D71" s="2">
        <f>--14899</f>
        <v>14899</v>
      </c>
      <c r="E71" s="2"/>
      <c r="F71" s="19">
        <f t="shared" si="55"/>
        <v>0.90095428952567314</v>
      </c>
      <c r="G71" s="2"/>
      <c r="H71" s="2">
        <f>--6782</f>
        <v>6782</v>
      </c>
      <c r="I71" s="2"/>
      <c r="J71" s="19">
        <f t="shared" si="56"/>
        <v>0.74486873088953709</v>
      </c>
      <c r="K71" s="2"/>
      <c r="L71" s="2">
        <f t="shared" si="57"/>
        <v>8117</v>
      </c>
      <c r="M71" s="2"/>
      <c r="N71" s="19">
        <f t="shared" si="58"/>
        <v>1.1968445886169272</v>
      </c>
      <c r="O71" s="11"/>
      <c r="P71" s="2">
        <f>--14899</f>
        <v>14899</v>
      </c>
      <c r="Q71" s="2"/>
      <c r="R71" s="19">
        <f t="shared" si="59"/>
        <v>0.19862001813562469</v>
      </c>
      <c r="S71" s="2"/>
      <c r="T71" s="2">
        <f>--20346</f>
        <v>20346</v>
      </c>
      <c r="U71" s="2"/>
      <c r="V71" s="19">
        <f t="shared" si="60"/>
        <v>0.33095250101257218</v>
      </c>
      <c r="W71" s="2"/>
      <c r="X71" s="2">
        <f t="shared" si="61"/>
        <v>-5447</v>
      </c>
      <c r="Y71" s="2"/>
      <c r="Z71" s="19">
        <f t="shared" si="62"/>
        <v>-0.26771847046102426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5" t="s">
        <v>276</v>
      </c>
      <c r="C73" s="25"/>
      <c r="D73" s="21">
        <f>+D27-D29+D70</f>
        <v>-3127.9000000000051</v>
      </c>
      <c r="E73" s="13"/>
      <c r="F73" s="22">
        <f>IF(D$12=0,0,D73/D$12)</f>
        <v>-0.18914658179792992</v>
      </c>
      <c r="G73" s="13"/>
      <c r="H73" s="21">
        <f>+H27-H29+H70</f>
        <v>-22426.079999999994</v>
      </c>
      <c r="I73" s="13"/>
      <c r="J73" s="22">
        <f>IF(H$12=0,0,H73/H$12)</f>
        <v>-2.4630618915404341</v>
      </c>
      <c r="K73" s="16"/>
      <c r="L73" s="21">
        <f>+D73-H73</f>
        <v>19298.179999999989</v>
      </c>
      <c r="M73" s="16"/>
      <c r="N73" s="22">
        <f>IF(H73=0,0,L73/H73)</f>
        <v>-0.86052399706056493</v>
      </c>
      <c r="O73" s="26"/>
      <c r="P73" s="21">
        <f>+P27-P29+P70</f>
        <v>-149.51999999997497</v>
      </c>
      <c r="Q73" s="13"/>
      <c r="R73" s="22">
        <f>IF(P$12=0,0,P73/P$12)</f>
        <v>-1.9932656629058076E-3</v>
      </c>
      <c r="S73" s="13"/>
      <c r="T73" s="21">
        <f>+T27-T29+T70</f>
        <v>44766.720000000023</v>
      </c>
      <c r="U73" s="13"/>
      <c r="V73" s="22">
        <f>IF(T$12=0,0,T73/T$12)</f>
        <v>0.72818529175904567</v>
      </c>
      <c r="W73" s="16"/>
      <c r="X73" s="21">
        <f>+P73-T73</f>
        <v>-44916.24</v>
      </c>
      <c r="Y73" s="16"/>
      <c r="Z73" s="22">
        <f>IF(T73=0,0,X73/T73)</f>
        <v>-1.0033399811288379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127</v>
      </c>
      <c r="C75" s="10"/>
      <c r="D75" s="4">
        <v>546.53</v>
      </c>
      <c r="E75" s="4"/>
      <c r="F75" s="12">
        <f>IF(D$12=0,0,D75/D$12)</f>
        <v>3.304910046677402E-2</v>
      </c>
      <c r="G75" s="4"/>
      <c r="H75" s="4">
        <v>2546.6</v>
      </c>
      <c r="I75" s="4"/>
      <c r="J75" s="12">
        <f>IF(H$12=0,0,H75/H$12)</f>
        <v>0.27969370540891991</v>
      </c>
      <c r="K75" s="4"/>
      <c r="L75" s="4">
        <f>+D75-H75</f>
        <v>-2000.07</v>
      </c>
      <c r="M75" s="4"/>
      <c r="N75" s="12">
        <f>IF(H75=0,0,L75/H75)</f>
        <v>-0.78538836095185738</v>
      </c>
      <c r="O75" s="10"/>
      <c r="P75" s="4">
        <v>9284.73</v>
      </c>
      <c r="Q75" s="4"/>
      <c r="R75" s="12">
        <f>IF(P$12=0,0,P75/P$12)</f>
        <v>0.12377563869953544</v>
      </c>
      <c r="S75" s="4"/>
      <c r="T75" s="4">
        <v>11388.94</v>
      </c>
      <c r="U75" s="4"/>
      <c r="V75" s="12">
        <f>IF(T$12=0,0,T75/T$12)</f>
        <v>0.18525499738927179</v>
      </c>
      <c r="W75" s="4"/>
      <c r="X75" s="4">
        <f>+P75-T75</f>
        <v>-2104.2100000000009</v>
      </c>
      <c r="Y75" s="4"/>
      <c r="Z75" s="12">
        <f>IF(T75=0,0,X75/T75)</f>
        <v>-0.18475907327635416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125</v>
      </c>
      <c r="C77" s="25"/>
      <c r="D77" s="33">
        <f>+D73-D75</f>
        <v>-3674.4300000000048</v>
      </c>
      <c r="E77" s="13"/>
      <c r="F77" s="35">
        <f>IF(D$12=0,0,D77/D$12)</f>
        <v>-0.22219568226470393</v>
      </c>
      <c r="G77" s="13"/>
      <c r="H77" s="33">
        <f>+H73-H75</f>
        <v>-24972.679999999993</v>
      </c>
      <c r="I77" s="13"/>
      <c r="J77" s="35">
        <f>IF(H$12=0,0,H77/H$12)</f>
        <v>-2.7427555969493542</v>
      </c>
      <c r="K77" s="16"/>
      <c r="L77" s="33">
        <f>D77-H77</f>
        <v>21298.249999999989</v>
      </c>
      <c r="M77" s="16"/>
      <c r="N77" s="35">
        <f>IF(H77=0,0,L77/H77)</f>
        <v>-0.85286200760190711</v>
      </c>
      <c r="O77" s="26"/>
      <c r="P77" s="33">
        <f>+P73-P75</f>
        <v>-9434.2499999999745</v>
      </c>
      <c r="Q77" s="13"/>
      <c r="R77" s="35">
        <f>IF(P$12=0,0,P77/P$12)</f>
        <v>-0.12576890436244123</v>
      </c>
      <c r="S77" s="13"/>
      <c r="T77" s="33">
        <f>+T73-T75</f>
        <v>33377.780000000021</v>
      </c>
      <c r="U77" s="13"/>
      <c r="V77" s="35">
        <f>IF(T$12=0,0,T77/T$12)</f>
        <v>0.5429302943697738</v>
      </c>
      <c r="W77" s="16"/>
      <c r="X77" s="33">
        <f>P77-T77</f>
        <v>-42812.03</v>
      </c>
      <c r="Y77" s="16"/>
      <c r="Z77" s="35">
        <f>IF(T77=0,0,X77/T77)</f>
        <v>-1.2826506136717293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5" t="s">
        <v>293</v>
      </c>
      <c r="C80" s="25"/>
      <c r="D80" s="31">
        <f>SUM(D77:D79)</f>
        <v>-3674.4300000000048</v>
      </c>
      <c r="E80" s="13"/>
      <c r="F80" s="32">
        <f>IF(D$12=0,0,D80/D$12)</f>
        <v>-0.22219568226470393</v>
      </c>
      <c r="G80" s="13"/>
      <c r="H80" s="31">
        <f>SUM(H77:H79)</f>
        <v>-24972.679999999993</v>
      </c>
      <c r="I80" s="13"/>
      <c r="J80" s="32">
        <f>IF(H$12=0,0,H80/H$12)</f>
        <v>-2.7427555969493542</v>
      </c>
      <c r="K80" s="16"/>
      <c r="L80" s="31">
        <f>+D80-H80</f>
        <v>21298.249999999989</v>
      </c>
      <c r="M80" s="16"/>
      <c r="N80" s="32">
        <f>IF(H80=0,0,L80/H80)</f>
        <v>-0.85286200760190711</v>
      </c>
      <c r="O80" s="26"/>
      <c r="P80" s="31">
        <f>SUM(P77:P79)</f>
        <v>-9434.2499999999745</v>
      </c>
      <c r="Q80" s="13"/>
      <c r="R80" s="32">
        <f>IF(P$12=0,0,P80/P$12)</f>
        <v>-0.12576890436244123</v>
      </c>
      <c r="S80" s="13"/>
      <c r="T80" s="31">
        <f>SUM(T77:T79)</f>
        <v>33377.780000000021</v>
      </c>
      <c r="U80" s="13"/>
      <c r="V80" s="32">
        <f>IF(T$12=0,0,T80/T$12)</f>
        <v>0.5429302943697738</v>
      </c>
      <c r="W80" s="16"/>
      <c r="X80" s="31">
        <f>+P80-T80</f>
        <v>-42812.03</v>
      </c>
      <c r="Y80" s="16"/>
      <c r="Z80" s="32">
        <f>IF(T80=0,0,X80/T80)</f>
        <v>-1.2826506136717293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8">
        <v>44481.985668518515</v>
      </c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A83" s="9"/>
      <c r="B83" s="53" t="s">
        <v>56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4" x14ac:dyDescent="0.25">
      <c r="A84" s="9"/>
      <c r="B84" s="52"/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4" x14ac:dyDescent="0.25"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218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174860.00999999998</v>
      </c>
      <c r="E12" s="4"/>
      <c r="F12" s="12"/>
      <c r="G12" s="4"/>
      <c r="H12" s="4">
        <f>SUM(OSRRefH13x_0)</f>
        <v>263646.53999999998</v>
      </c>
      <c r="I12" s="4"/>
      <c r="J12" s="12"/>
      <c r="K12" s="4"/>
      <c r="L12" s="4">
        <f t="shared" ref="L12:L32" si="0">+D12-H12</f>
        <v>-88786.53</v>
      </c>
      <c r="M12" s="4"/>
      <c r="N12" s="12">
        <f t="shared" ref="N12:N32" si="1">IF(H12=0,0,L12/H12)</f>
        <v>-0.33676349403257866</v>
      </c>
      <c r="O12" s="10"/>
      <c r="P12" s="4">
        <f>SUM(OSRRefP13x_0)</f>
        <v>613539.87999999989</v>
      </c>
      <c r="Q12" s="4"/>
      <c r="R12" s="12"/>
      <c r="S12" s="4"/>
      <c r="T12" s="4">
        <f>SUM(OSRRefT13x_0)</f>
        <v>963284.72999999986</v>
      </c>
      <c r="U12" s="4"/>
      <c r="V12" s="12"/>
      <c r="W12" s="4"/>
      <c r="X12" s="4">
        <f t="shared" ref="X12:X32" si="2">+P12-T12</f>
        <v>-349744.85</v>
      </c>
      <c r="Y12" s="4"/>
      <c r="Z12" s="12">
        <f t="shared" ref="Z12:Z32" si="3">IF(T12=0,0,X12/T12)</f>
        <v>-0.36307525605643104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--115763.59</f>
        <v>115763.59</v>
      </c>
      <c r="E13" s="2"/>
      <c r="F13" s="19"/>
      <c r="G13" s="2"/>
      <c r="H13" s="2">
        <f>-549.51</f>
        <v>-549.51</v>
      </c>
      <c r="I13" s="2"/>
      <c r="J13" s="19"/>
      <c r="K13" s="2"/>
      <c r="L13" s="2">
        <f t="shared" si="0"/>
        <v>116313.09999999999</v>
      </c>
      <c r="M13" s="2"/>
      <c r="N13" s="19">
        <f t="shared" si="1"/>
        <v>-211.66693963713124</v>
      </c>
      <c r="O13" s="11"/>
      <c r="P13" s="2">
        <f>--497929.32</f>
        <v>497929.32</v>
      </c>
      <c r="Q13" s="2"/>
      <c r="R13" s="19"/>
      <c r="S13" s="2"/>
      <c r="T13" s="2">
        <f>-1723.7</f>
        <v>-1723.7</v>
      </c>
      <c r="U13" s="2"/>
      <c r="V13" s="19"/>
      <c r="W13" s="2"/>
      <c r="X13" s="2">
        <f t="shared" si="2"/>
        <v>499653.02</v>
      </c>
      <c r="Y13" s="2"/>
      <c r="Z13" s="19">
        <f t="shared" si="3"/>
        <v>-289.87237918431282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 t="shared" ref="D14:D18" si="4">0</f>
        <v>0</v>
      </c>
      <c r="E14" s="2"/>
      <c r="F14" s="19"/>
      <c r="G14" s="2"/>
      <c r="H14" s="2">
        <f>--12167.65</f>
        <v>12167.65</v>
      </c>
      <c r="I14" s="2"/>
      <c r="J14" s="19"/>
      <c r="K14" s="2"/>
      <c r="L14" s="2">
        <f t="shared" si="0"/>
        <v>-12167.65</v>
      </c>
      <c r="M14" s="2"/>
      <c r="N14" s="19">
        <f t="shared" si="1"/>
        <v>-1</v>
      </c>
      <c r="O14" s="11"/>
      <c r="P14" s="2">
        <f t="shared" ref="P14:P18" si="5">0</f>
        <v>0</v>
      </c>
      <c r="Q14" s="2"/>
      <c r="R14" s="19"/>
      <c r="S14" s="2"/>
      <c r="T14" s="2">
        <f>--50030.67</f>
        <v>50030.67</v>
      </c>
      <c r="U14" s="2"/>
      <c r="V14" s="19"/>
      <c r="W14" s="2"/>
      <c r="X14" s="2">
        <f t="shared" si="2"/>
        <v>-50030.67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 t="shared" si="4"/>
        <v>0</v>
      </c>
      <c r="E15" s="2"/>
      <c r="F15" s="19"/>
      <c r="G15" s="2"/>
      <c r="H15" s="2">
        <f>--198101.2</f>
        <v>198101.2</v>
      </c>
      <c r="I15" s="2"/>
      <c r="J15" s="19"/>
      <c r="K15" s="2"/>
      <c r="L15" s="2">
        <f t="shared" si="0"/>
        <v>-198101.2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--739313.21</f>
        <v>739313.21</v>
      </c>
      <c r="U15" s="2"/>
      <c r="V15" s="19"/>
      <c r="W15" s="2"/>
      <c r="X15" s="2">
        <f t="shared" si="2"/>
        <v>-739313.21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 t="shared" si="4"/>
        <v>0</v>
      </c>
      <c r="E16" s="2"/>
      <c r="F16" s="19"/>
      <c r="G16" s="2"/>
      <c r="H16" s="2">
        <f>--18937.34</f>
        <v>18937.34</v>
      </c>
      <c r="I16" s="2"/>
      <c r="J16" s="19"/>
      <c r="K16" s="2"/>
      <c r="L16" s="2">
        <f t="shared" si="0"/>
        <v>-18937.34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--68652.7</f>
        <v>68652.7</v>
      </c>
      <c r="U16" s="2"/>
      <c r="V16" s="19"/>
      <c r="W16" s="2"/>
      <c r="X16" s="2">
        <f t="shared" si="2"/>
        <v>-68652.7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--852.96</f>
        <v>852.96</v>
      </c>
      <c r="I17" s="2"/>
      <c r="J17" s="19"/>
      <c r="K17" s="2"/>
      <c r="L17" s="2">
        <f t="shared" si="0"/>
        <v>-852.96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--981.96</f>
        <v>981.96</v>
      </c>
      <c r="U17" s="2"/>
      <c r="V17" s="19"/>
      <c r="W17" s="2"/>
      <c r="X17" s="2">
        <f t="shared" si="2"/>
        <v>-981.96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 t="shared" si="4"/>
        <v>0</v>
      </c>
      <c r="E18" s="2"/>
      <c r="F18" s="19"/>
      <c r="G18" s="2"/>
      <c r="H18" s="2">
        <f>--713.93</f>
        <v>713.93</v>
      </c>
      <c r="I18" s="2"/>
      <c r="J18" s="19"/>
      <c r="K18" s="2"/>
      <c r="L18" s="2">
        <f t="shared" si="0"/>
        <v>-713.93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--27981.41</f>
        <v>27981.41</v>
      </c>
      <c r="U18" s="2"/>
      <c r="V18" s="19"/>
      <c r="W18" s="2"/>
      <c r="X18" s="2">
        <f t="shared" si="2"/>
        <v>-27981.41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--79696.64</f>
        <v>79696.639999999999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79696.639999999999</v>
      </c>
      <c r="M19" s="2"/>
      <c r="N19" s="19">
        <f t="shared" si="1"/>
        <v>0</v>
      </c>
      <c r="O19" s="11"/>
      <c r="P19" s="2">
        <f>--196474.52</f>
        <v>196474.52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196474.52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 t="shared" ref="D20:D24" si="6">0</f>
        <v>0</v>
      </c>
      <c r="E20" s="2"/>
      <c r="F20" s="19"/>
      <c r="G20" s="2"/>
      <c r="H20" s="2">
        <f>--669.89</f>
        <v>669.89</v>
      </c>
      <c r="I20" s="2"/>
      <c r="J20" s="19"/>
      <c r="K20" s="2"/>
      <c r="L20" s="2">
        <f t="shared" si="0"/>
        <v>-669.89</v>
      </c>
      <c r="M20" s="2"/>
      <c r="N20" s="19">
        <f t="shared" si="1"/>
        <v>-1</v>
      </c>
      <c r="O20" s="11"/>
      <c r="P20" s="2">
        <f t="shared" ref="P20:P24" si="7">0</f>
        <v>0</v>
      </c>
      <c r="Q20" s="2"/>
      <c r="R20" s="19"/>
      <c r="S20" s="2"/>
      <c r="T20" s="2">
        <f>--3309.16</f>
        <v>3309.16</v>
      </c>
      <c r="U20" s="2"/>
      <c r="V20" s="19"/>
      <c r="W20" s="2"/>
      <c r="X20" s="2">
        <f t="shared" si="2"/>
        <v>-3309.16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 t="shared" si="6"/>
        <v>0</v>
      </c>
      <c r="E21" s="2"/>
      <c r="F21" s="19"/>
      <c r="G21" s="2"/>
      <c r="H21" s="2">
        <f>--38657</f>
        <v>38657</v>
      </c>
      <c r="I21" s="2"/>
      <c r="J21" s="19"/>
      <c r="K21" s="2"/>
      <c r="L21" s="2">
        <f t="shared" si="0"/>
        <v>-38657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--120724.38</f>
        <v>120724.38</v>
      </c>
      <c r="U21" s="2"/>
      <c r="V21" s="19"/>
      <c r="W21" s="2"/>
      <c r="X21" s="2">
        <f t="shared" si="2"/>
        <v>-120724.38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 t="shared" si="6"/>
        <v>0</v>
      </c>
      <c r="E22" s="2"/>
      <c r="F22" s="19"/>
      <c r="G22" s="2"/>
      <c r="H22" s="2">
        <f>--1946.8</f>
        <v>1946.8</v>
      </c>
      <c r="I22" s="2"/>
      <c r="J22" s="19"/>
      <c r="K22" s="2"/>
      <c r="L22" s="2">
        <f t="shared" si="0"/>
        <v>-1946.8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--5066.48</f>
        <v>5066.4799999999996</v>
      </c>
      <c r="U22" s="2"/>
      <c r="V22" s="19"/>
      <c r="W22" s="2"/>
      <c r="X22" s="2">
        <f t="shared" si="2"/>
        <v>-5066.4799999999996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 t="shared" si="6"/>
        <v>0</v>
      </c>
      <c r="E23" s="2"/>
      <c r="F23" s="19"/>
      <c r="G23" s="2"/>
      <c r="H23" s="2">
        <f>--8427.6</f>
        <v>8427.6</v>
      </c>
      <c r="I23" s="2"/>
      <c r="J23" s="19"/>
      <c r="K23" s="2"/>
      <c r="L23" s="2">
        <f t="shared" si="0"/>
        <v>-8427.6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--19226.09</f>
        <v>19226.09</v>
      </c>
      <c r="U23" s="2"/>
      <c r="V23" s="19"/>
      <c r="W23" s="2"/>
      <c r="X23" s="2">
        <f t="shared" si="2"/>
        <v>-19226.09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 t="shared" si="6"/>
        <v>0</v>
      </c>
      <c r="E24" s="2"/>
      <c r="F24" s="19"/>
      <c r="G24" s="2"/>
      <c r="H24" s="2">
        <f>--460.89</f>
        <v>460.89</v>
      </c>
      <c r="I24" s="2"/>
      <c r="J24" s="19"/>
      <c r="K24" s="2"/>
      <c r="L24" s="2">
        <f t="shared" si="0"/>
        <v>-460.89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--873.79</f>
        <v>873.79</v>
      </c>
      <c r="U24" s="2"/>
      <c r="V24" s="19"/>
      <c r="W24" s="2"/>
      <c r="X24" s="2">
        <f t="shared" si="2"/>
        <v>-873.79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"4200", " - ", "TAXABLE RETURNS")</f>
        <v xml:space="preserve">          4200 - TAXABLE RETURNS</v>
      </c>
      <c r="C25" s="11"/>
      <c r="D25" s="2">
        <f>-20557.25</f>
        <v>-20557.25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-20557.25</v>
      </c>
      <c r="M25" s="2"/>
      <c r="N25" s="19">
        <f t="shared" si="1"/>
        <v>0</v>
      </c>
      <c r="O25" s="11"/>
      <c r="P25" s="2">
        <f>-80174.16</f>
        <v>-80174.16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-80174.16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"4281", " - ", "SALES RETURN TAXABLE-ELECTRONI")</f>
        <v xml:space="preserve">          4281 - SALES RETURN TAXABLE-ELECTRONI</v>
      </c>
      <c r="C26" s="11"/>
      <c r="D26" s="2">
        <f t="shared" ref="D26:D30" si="8">0</f>
        <v>0</v>
      </c>
      <c r="E26" s="2"/>
      <c r="F26" s="19"/>
      <c r="G26" s="2"/>
      <c r="H26" s="2">
        <f>-557.94</f>
        <v>-557.94000000000005</v>
      </c>
      <c r="I26" s="2"/>
      <c r="J26" s="19"/>
      <c r="K26" s="2"/>
      <c r="L26" s="2">
        <f t="shared" si="0"/>
        <v>557.94000000000005</v>
      </c>
      <c r="M26" s="2"/>
      <c r="N26" s="19">
        <f t="shared" si="1"/>
        <v>-1</v>
      </c>
      <c r="O26" s="11"/>
      <c r="P26" s="2">
        <f t="shared" ref="P26:P30" si="9">0</f>
        <v>0</v>
      </c>
      <c r="Q26" s="2"/>
      <c r="R26" s="19"/>
      <c r="S26" s="2"/>
      <c r="T26" s="2">
        <f>-14274.16</f>
        <v>-14274.16</v>
      </c>
      <c r="U26" s="2"/>
      <c r="V26" s="19"/>
      <c r="W26" s="2"/>
      <c r="X26" s="2">
        <f t="shared" si="2"/>
        <v>14274.16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"4282", " - ", "SALES RETURN TAXABLE-COMPUTER")</f>
        <v xml:space="preserve">          4282 - SALES RETURN TAXABLE-COMPUTER</v>
      </c>
      <c r="C27" s="11"/>
      <c r="D27" s="2">
        <f t="shared" si="8"/>
        <v>0</v>
      </c>
      <c r="E27" s="2"/>
      <c r="F27" s="19"/>
      <c r="G27" s="2"/>
      <c r="H27" s="2">
        <f>-14636</f>
        <v>-14636</v>
      </c>
      <c r="I27" s="2"/>
      <c r="J27" s="19"/>
      <c r="K27" s="2"/>
      <c r="L27" s="2">
        <f t="shared" si="0"/>
        <v>14636</v>
      </c>
      <c r="M27" s="2"/>
      <c r="N27" s="19">
        <f t="shared" si="1"/>
        <v>-1</v>
      </c>
      <c r="O27" s="11"/>
      <c r="P27" s="2">
        <f t="shared" si="9"/>
        <v>0</v>
      </c>
      <c r="Q27" s="2"/>
      <c r="R27" s="19"/>
      <c r="S27" s="2"/>
      <c r="T27" s="2">
        <f>-48285</f>
        <v>-48285</v>
      </c>
      <c r="U27" s="2"/>
      <c r="V27" s="19"/>
      <c r="W27" s="2"/>
      <c r="X27" s="2">
        <f t="shared" si="2"/>
        <v>48285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"4283", " - ", "SALES RETURN TAXABLE-COMPUTER")</f>
        <v xml:space="preserve">          4283 - SALES RETURN TAXABLE-COMPUTER</v>
      </c>
      <c r="C28" s="11"/>
      <c r="D28" s="2">
        <f t="shared" si="8"/>
        <v>0</v>
      </c>
      <c r="E28" s="2"/>
      <c r="F28" s="19"/>
      <c r="G28" s="2"/>
      <c r="H28" s="2">
        <f>-483.9</f>
        <v>-483.9</v>
      </c>
      <c r="I28" s="2"/>
      <c r="J28" s="19"/>
      <c r="K28" s="2"/>
      <c r="L28" s="2">
        <f t="shared" si="0"/>
        <v>483.9</v>
      </c>
      <c r="M28" s="2"/>
      <c r="N28" s="19">
        <f t="shared" si="1"/>
        <v>-1</v>
      </c>
      <c r="O28" s="11"/>
      <c r="P28" s="2">
        <f t="shared" si="9"/>
        <v>0</v>
      </c>
      <c r="Q28" s="2"/>
      <c r="R28" s="19"/>
      <c r="S28" s="2"/>
      <c r="T28" s="2">
        <f>-2002.73</f>
        <v>-2002.73</v>
      </c>
      <c r="U28" s="2"/>
      <c r="V28" s="19"/>
      <c r="W28" s="2"/>
      <c r="X28" s="2">
        <f t="shared" si="2"/>
        <v>2002.73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"4285", " - ", "SALES RETURN TAXABLE-SOFTWARE")</f>
        <v xml:space="preserve">          4285 - SALES RETURN TAXABLE-SOFTWARE</v>
      </c>
      <c r="C29" s="11"/>
      <c r="D29" s="2">
        <f t="shared" si="8"/>
        <v>0</v>
      </c>
      <c r="E29" s="2"/>
      <c r="F29" s="19"/>
      <c r="G29" s="2"/>
      <c r="H29" s="2">
        <f>-552.98</f>
        <v>-552.98</v>
      </c>
      <c r="I29" s="2"/>
      <c r="J29" s="19"/>
      <c r="K29" s="2"/>
      <c r="L29" s="2">
        <f t="shared" si="0"/>
        <v>552.98</v>
      </c>
      <c r="M29" s="2"/>
      <c r="N29" s="19">
        <f t="shared" si="1"/>
        <v>-1</v>
      </c>
      <c r="O29" s="11"/>
      <c r="P29" s="2">
        <f t="shared" si="9"/>
        <v>0</v>
      </c>
      <c r="Q29" s="2"/>
      <c r="R29" s="19"/>
      <c r="S29" s="2"/>
      <c r="T29" s="2">
        <f>-552.98</f>
        <v>-552.98</v>
      </c>
      <c r="U29" s="2"/>
      <c r="V29" s="19"/>
      <c r="W29" s="2"/>
      <c r="X29" s="2">
        <f t="shared" si="2"/>
        <v>552.98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"4286", " - ", "SALES RETURN TAXABLE-COMPUTER")</f>
        <v xml:space="preserve">          4286 - SALES RETURN TAXABLE-COMPUTER</v>
      </c>
      <c r="C30" s="11"/>
      <c r="D30" s="2">
        <f t="shared" si="8"/>
        <v>0</v>
      </c>
      <c r="E30" s="2"/>
      <c r="F30" s="19"/>
      <c r="G30" s="2"/>
      <c r="H30" s="2">
        <f>-258.44</f>
        <v>-258.44</v>
      </c>
      <c r="I30" s="2"/>
      <c r="J30" s="19"/>
      <c r="K30" s="2"/>
      <c r="L30" s="2">
        <f t="shared" si="0"/>
        <v>258.44</v>
      </c>
      <c r="M30" s="2"/>
      <c r="N30" s="19">
        <f t="shared" si="1"/>
        <v>-1</v>
      </c>
      <c r="O30" s="11"/>
      <c r="P30" s="2">
        <f t="shared" si="9"/>
        <v>0</v>
      </c>
      <c r="Q30" s="2"/>
      <c r="R30" s="19"/>
      <c r="S30" s="2"/>
      <c r="T30" s="2">
        <f>-412.4</f>
        <v>-412.4</v>
      </c>
      <c r="U30" s="2"/>
      <c r="V30" s="19"/>
      <c r="W30" s="2"/>
      <c r="X30" s="2">
        <f t="shared" si="2"/>
        <v>412.4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"4300", " - ", "NON-TAX RETURNS")</f>
        <v xml:space="preserve">          4300 - NON-TAX RETURNS</v>
      </c>
      <c r="C31" s="11"/>
      <c r="D31" s="2">
        <f>-42.97</f>
        <v>-42.97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-42.97</v>
      </c>
      <c r="M31" s="2"/>
      <c r="N31" s="19">
        <f t="shared" si="1"/>
        <v>0</v>
      </c>
      <c r="O31" s="11"/>
      <c r="P31" s="2">
        <f>-689.8</f>
        <v>-689.8</v>
      </c>
      <c r="Q31" s="2"/>
      <c r="R31" s="19"/>
      <c r="S31" s="2"/>
      <c r="T31" s="2">
        <f>0</f>
        <v>0</v>
      </c>
      <c r="U31" s="2"/>
      <c r="V31" s="19"/>
      <c r="W31" s="2"/>
      <c r="X31" s="2">
        <f t="shared" si="2"/>
        <v>-689.8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"4381", " - ", "SALES RETURN NON TAXABLE-ELECT")</f>
        <v xml:space="preserve">          4381 - SALES RETURN NON TAXABLE-ELECT</v>
      </c>
      <c r="C32" s="11"/>
      <c r="D32" s="2">
        <f>0</f>
        <v>0</v>
      </c>
      <c r="E32" s="2"/>
      <c r="F32" s="19"/>
      <c r="G32" s="2"/>
      <c r="H32" s="2">
        <f>-249.95</f>
        <v>-249.95</v>
      </c>
      <c r="I32" s="2"/>
      <c r="J32" s="19"/>
      <c r="K32" s="2"/>
      <c r="L32" s="2">
        <f t="shared" si="0"/>
        <v>249.95</v>
      </c>
      <c r="M32" s="2"/>
      <c r="N32" s="19">
        <f t="shared" si="1"/>
        <v>-1</v>
      </c>
      <c r="O32" s="11"/>
      <c r="P32" s="2">
        <f>0</f>
        <v>0</v>
      </c>
      <c r="Q32" s="2"/>
      <c r="R32" s="19"/>
      <c r="S32" s="2"/>
      <c r="T32" s="2">
        <f>-5624.15</f>
        <v>-5624.15</v>
      </c>
      <c r="U32" s="2"/>
      <c r="V32" s="19"/>
      <c r="W32" s="2"/>
      <c r="X32" s="2">
        <f t="shared" si="2"/>
        <v>5624.15</v>
      </c>
      <c r="Y32" s="2"/>
      <c r="Z32" s="19">
        <f t="shared" si="3"/>
        <v>-1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6" t="s">
        <v>256</v>
      </c>
      <c r="C34" s="10"/>
      <c r="D34" s="4">
        <f>SUM(OSRRefD16x_0)</f>
        <v>117257.95000000001</v>
      </c>
      <c r="E34" s="4"/>
      <c r="F34" s="12">
        <f t="shared" ref="F34:F46" si="10">IF(D$12=0,0,D34/D$12)</f>
        <v>0.6705818557370552</v>
      </c>
      <c r="G34" s="4"/>
      <c r="H34" s="4">
        <f>SUM(OSRRefH16x_0)</f>
        <v>262132</v>
      </c>
      <c r="I34" s="4"/>
      <c r="J34" s="12">
        <f t="shared" ref="J34:J46" si="11">IF(H$12=0,0,H34/H$12)</f>
        <v>0.99425541484443536</v>
      </c>
      <c r="K34" s="4"/>
      <c r="L34" s="4">
        <f t="shared" ref="L34:L46" si="12">+D34-H34</f>
        <v>-144874.04999999999</v>
      </c>
      <c r="M34" s="4"/>
      <c r="N34" s="12">
        <f t="shared" ref="N34:N46" si="13">IF(H34=0,0,L34/H34)</f>
        <v>-0.55267594189187119</v>
      </c>
      <c r="O34" s="10"/>
      <c r="P34" s="4">
        <f>SUM(OSRRefP16x_0)</f>
        <v>491422.55000000005</v>
      </c>
      <c r="Q34" s="4"/>
      <c r="R34" s="12">
        <f t="shared" ref="R34:R46" si="14">IF(P$12=0,0,P34/P$12)</f>
        <v>0.80096268558777328</v>
      </c>
      <c r="S34" s="4"/>
      <c r="T34" s="4">
        <f>SUM(OSRRefT16x_0)</f>
        <v>924552</v>
      </c>
      <c r="U34" s="4"/>
      <c r="V34" s="12">
        <f t="shared" ref="V34:V46" si="15">IF(T$12=0,0,T34/T$12)</f>
        <v>0.95979098516385719</v>
      </c>
      <c r="W34" s="4"/>
      <c r="X34" s="4">
        <f t="shared" ref="X34:X46" si="16">+P34-T34</f>
        <v>-433129.44999999995</v>
      </c>
      <c r="Y34" s="4"/>
      <c r="Z34" s="12">
        <f t="shared" ref="Z34:Z46" si="17">IF(T34=0,0,X34/T34)</f>
        <v>-0.4684749478666424</v>
      </c>
    </row>
    <row r="35" spans="1:26" s="24" customFormat="1" hidden="1" outlineLevel="1" x14ac:dyDescent="0.25">
      <c r="A35" s="44"/>
      <c r="B35" s="11" t="str">
        <f>CONCATENATE("          ", "5000", " - ", "PURCHASES @ COST")</f>
        <v xml:space="preserve">          5000 - PURCHASES @ COST</v>
      </c>
      <c r="C35" s="11"/>
      <c r="D35" s="2">
        <v>169066.36</v>
      </c>
      <c r="E35" s="2"/>
      <c r="F35" s="19">
        <f t="shared" si="10"/>
        <v>0.96686692400395036</v>
      </c>
      <c r="G35" s="2"/>
      <c r="H35" s="2">
        <v>0</v>
      </c>
      <c r="I35" s="2"/>
      <c r="J35" s="19">
        <f t="shared" si="11"/>
        <v>0</v>
      </c>
      <c r="K35" s="2"/>
      <c r="L35" s="2">
        <f t="shared" si="12"/>
        <v>169066.36</v>
      </c>
      <c r="M35" s="2"/>
      <c r="N35" s="19">
        <f t="shared" si="13"/>
        <v>0</v>
      </c>
      <c r="O35" s="11"/>
      <c r="P35" s="2">
        <v>552202.23</v>
      </c>
      <c r="Q35" s="2"/>
      <c r="R35" s="19">
        <f t="shared" si="14"/>
        <v>0.90002662907584763</v>
      </c>
      <c r="S35" s="2"/>
      <c r="T35" s="2">
        <v>0</v>
      </c>
      <c r="U35" s="2"/>
      <c r="V35" s="19">
        <f t="shared" si="15"/>
        <v>0</v>
      </c>
      <c r="W35" s="2"/>
      <c r="X35" s="2">
        <f t="shared" si="16"/>
        <v>552202.23</v>
      </c>
      <c r="Y35" s="2"/>
      <c r="Z35" s="19">
        <f t="shared" si="17"/>
        <v>0</v>
      </c>
    </row>
    <row r="36" spans="1:26" s="24" customFormat="1" hidden="1" outlineLevel="1" x14ac:dyDescent="0.25">
      <c r="A36" s="44"/>
      <c r="B36" s="11" t="str">
        <f>CONCATENATE("          ", "5081", " - ", "PURCHASES @ COST-ELECTRONICS")</f>
        <v xml:space="preserve">          5081 - PURCHASES @ COST-ELECTRONICS</v>
      </c>
      <c r="C36" s="11"/>
      <c r="D36" s="2">
        <v>0</v>
      </c>
      <c r="E36" s="2"/>
      <c r="F36" s="19">
        <f t="shared" si="10"/>
        <v>0</v>
      </c>
      <c r="G36" s="2"/>
      <c r="H36" s="2">
        <v>8274.98</v>
      </c>
      <c r="I36" s="2"/>
      <c r="J36" s="19">
        <f t="shared" si="11"/>
        <v>3.1386643647968983E-2</v>
      </c>
      <c r="K36" s="2"/>
      <c r="L36" s="2">
        <f t="shared" si="12"/>
        <v>-8274.98</v>
      </c>
      <c r="M36" s="2"/>
      <c r="N36" s="19">
        <f t="shared" si="13"/>
        <v>-1</v>
      </c>
      <c r="O36" s="11"/>
      <c r="P36" s="2">
        <v>0</v>
      </c>
      <c r="Q36" s="2"/>
      <c r="R36" s="19">
        <f t="shared" si="14"/>
        <v>0</v>
      </c>
      <c r="S36" s="2"/>
      <c r="T36" s="2">
        <v>15697.45</v>
      </c>
      <c r="U36" s="2"/>
      <c r="V36" s="19">
        <f t="shared" si="15"/>
        <v>1.6295752970152452E-2</v>
      </c>
      <c r="W36" s="2"/>
      <c r="X36" s="2">
        <f t="shared" si="16"/>
        <v>-15697.45</v>
      </c>
      <c r="Y36" s="2"/>
      <c r="Z36" s="19">
        <f t="shared" si="17"/>
        <v>-1</v>
      </c>
    </row>
    <row r="37" spans="1:26" s="24" customFormat="1" hidden="1" outlineLevel="1" x14ac:dyDescent="0.25">
      <c r="A37" s="44"/>
      <c r="B37" s="11" t="str">
        <f>CONCATENATE("          ", "5082", " - ", "PURCHASES @ COST-COMPUTER HARD")</f>
        <v xml:space="preserve">          5082 - PURCHASES @ COST-COMPUTER HARD</v>
      </c>
      <c r="C37" s="11"/>
      <c r="D37" s="2">
        <v>-22380.03</v>
      </c>
      <c r="E37" s="2"/>
      <c r="F37" s="19">
        <f t="shared" si="10"/>
        <v>-0.12798826901588306</v>
      </c>
      <c r="G37" s="2"/>
      <c r="H37" s="2">
        <v>470149.41</v>
      </c>
      <c r="I37" s="2"/>
      <c r="J37" s="19">
        <f t="shared" si="11"/>
        <v>1.7832565145743995</v>
      </c>
      <c r="K37" s="2"/>
      <c r="L37" s="2">
        <f t="shared" si="12"/>
        <v>-492529.43999999994</v>
      </c>
      <c r="M37" s="2"/>
      <c r="N37" s="19">
        <f t="shared" si="13"/>
        <v>-1.0476019527494462</v>
      </c>
      <c r="O37" s="11"/>
      <c r="P37" s="2">
        <v>-56783.85</v>
      </c>
      <c r="Q37" s="2"/>
      <c r="R37" s="19">
        <f t="shared" si="14"/>
        <v>-9.2551196509019121E-2</v>
      </c>
      <c r="S37" s="2"/>
      <c r="T37" s="2">
        <v>713373.21</v>
      </c>
      <c r="U37" s="2"/>
      <c r="V37" s="19">
        <f t="shared" si="15"/>
        <v>0.74056318737659221</v>
      </c>
      <c r="W37" s="2"/>
      <c r="X37" s="2">
        <f t="shared" si="16"/>
        <v>-770157.05999999994</v>
      </c>
      <c r="Y37" s="2"/>
      <c r="Z37" s="19">
        <f t="shared" si="17"/>
        <v>-1.0795990783001228</v>
      </c>
    </row>
    <row r="38" spans="1:26" s="24" customFormat="1" hidden="1" outlineLevel="1" x14ac:dyDescent="0.25">
      <c r="A38" s="44"/>
      <c r="B38" s="11" t="str">
        <f>CONCATENATE("          ", "5083", " - ", "PURCHASES @ COST-COMPUTER EQUI")</f>
        <v xml:space="preserve">          5083 - PURCHASES @ COST-COMPUTER EQUI</v>
      </c>
      <c r="C38" s="11"/>
      <c r="D38" s="2">
        <v>0</v>
      </c>
      <c r="E38" s="2"/>
      <c r="F38" s="19">
        <f t="shared" si="10"/>
        <v>0</v>
      </c>
      <c r="G38" s="2"/>
      <c r="H38" s="2">
        <v>24155.15</v>
      </c>
      <c r="I38" s="2"/>
      <c r="J38" s="19">
        <f t="shared" si="11"/>
        <v>9.1619446247995534E-2</v>
      </c>
      <c r="K38" s="2"/>
      <c r="L38" s="2">
        <f t="shared" si="12"/>
        <v>-24155.15</v>
      </c>
      <c r="M38" s="2"/>
      <c r="N38" s="19">
        <f t="shared" si="13"/>
        <v>-1</v>
      </c>
      <c r="O38" s="11"/>
      <c r="P38" s="2">
        <v>0</v>
      </c>
      <c r="Q38" s="2"/>
      <c r="R38" s="19">
        <f t="shared" si="14"/>
        <v>0</v>
      </c>
      <c r="S38" s="2"/>
      <c r="T38" s="2">
        <v>61434</v>
      </c>
      <c r="U38" s="2"/>
      <c r="V38" s="19">
        <f t="shared" si="15"/>
        <v>6.3775536024535562E-2</v>
      </c>
      <c r="W38" s="2"/>
      <c r="X38" s="2">
        <f t="shared" si="16"/>
        <v>-61434</v>
      </c>
      <c r="Y38" s="2"/>
      <c r="Z38" s="19">
        <f t="shared" si="17"/>
        <v>-1</v>
      </c>
    </row>
    <row r="39" spans="1:26" s="24" customFormat="1" hidden="1" outlineLevel="1" x14ac:dyDescent="0.25">
      <c r="A39" s="44"/>
      <c r="B39" s="11" t="str">
        <f>CONCATENATE("          ", "5085", " - ", "PURCHASES @ COST-SOFTWARE")</f>
        <v xml:space="preserve">          5085 - PURCHASES @ COST-SOFTWARE</v>
      </c>
      <c r="C39" s="11"/>
      <c r="D39" s="2">
        <v>0</v>
      </c>
      <c r="E39" s="2"/>
      <c r="F39" s="19">
        <f t="shared" si="10"/>
        <v>0</v>
      </c>
      <c r="G39" s="2"/>
      <c r="H39" s="2">
        <v>8609.1200000000008</v>
      </c>
      <c r="I39" s="2"/>
      <c r="J39" s="19">
        <f t="shared" si="11"/>
        <v>3.2654022313359399E-2</v>
      </c>
      <c r="K39" s="2"/>
      <c r="L39" s="2">
        <f t="shared" si="12"/>
        <v>-8609.1200000000008</v>
      </c>
      <c r="M39" s="2"/>
      <c r="N39" s="19">
        <f t="shared" si="13"/>
        <v>-1</v>
      </c>
      <c r="O39" s="11"/>
      <c r="P39" s="2">
        <v>0</v>
      </c>
      <c r="Q39" s="2"/>
      <c r="R39" s="19">
        <f t="shared" si="14"/>
        <v>0</v>
      </c>
      <c r="S39" s="2"/>
      <c r="T39" s="2">
        <v>14837.68</v>
      </c>
      <c r="U39" s="2"/>
      <c r="V39" s="19">
        <f t="shared" si="15"/>
        <v>1.5403213128894925E-2</v>
      </c>
      <c r="W39" s="2"/>
      <c r="X39" s="2">
        <f t="shared" si="16"/>
        <v>-14837.68</v>
      </c>
      <c r="Y39" s="2"/>
      <c r="Z39" s="19">
        <f t="shared" si="17"/>
        <v>-1</v>
      </c>
    </row>
    <row r="40" spans="1:26" s="24" customFormat="1" hidden="1" outlineLevel="1" x14ac:dyDescent="0.25">
      <c r="A40" s="44"/>
      <c r="B40" s="11" t="str">
        <f>CONCATENATE("          ", "5086", " - ", "PURCHASES @ COST-COMPUTER SUPP")</f>
        <v xml:space="preserve">          5086 - PURCHASES @ COST-COMPUTER SUPP</v>
      </c>
      <c r="C40" s="11"/>
      <c r="D40" s="2">
        <v>0</v>
      </c>
      <c r="E40" s="2"/>
      <c r="F40" s="19">
        <f t="shared" si="10"/>
        <v>0</v>
      </c>
      <c r="G40" s="2"/>
      <c r="H40" s="2">
        <v>18.760000000000002</v>
      </c>
      <c r="I40" s="2"/>
      <c r="J40" s="19">
        <f t="shared" si="11"/>
        <v>7.1155874072915967E-5</v>
      </c>
      <c r="K40" s="2"/>
      <c r="L40" s="2">
        <f t="shared" si="12"/>
        <v>-18.760000000000002</v>
      </c>
      <c r="M40" s="2"/>
      <c r="N40" s="19">
        <f t="shared" si="13"/>
        <v>-1</v>
      </c>
      <c r="O40" s="11"/>
      <c r="P40" s="2">
        <v>0</v>
      </c>
      <c r="Q40" s="2"/>
      <c r="R40" s="19">
        <f t="shared" si="14"/>
        <v>0</v>
      </c>
      <c r="S40" s="2"/>
      <c r="T40" s="2">
        <v>21755.97</v>
      </c>
      <c r="U40" s="2"/>
      <c r="V40" s="19">
        <f t="shared" si="15"/>
        <v>2.2585191400262314E-2</v>
      </c>
      <c r="W40" s="2"/>
      <c r="X40" s="2">
        <f t="shared" si="16"/>
        <v>-21755.97</v>
      </c>
      <c r="Y40" s="2"/>
      <c r="Z40" s="19">
        <f t="shared" si="17"/>
        <v>-1</v>
      </c>
    </row>
    <row r="41" spans="1:26" s="24" customFormat="1" hidden="1" outlineLevel="1" x14ac:dyDescent="0.25">
      <c r="A41" s="44"/>
      <c r="B41" s="11" t="str">
        <f>CONCATENATE("          ", "5200", " - ", "PURCHASES OFFSET")</f>
        <v xml:space="preserve">          5200 - PURCHASES OFFSET</v>
      </c>
      <c r="C41" s="11"/>
      <c r="D41" s="2">
        <v>-169066.36</v>
      </c>
      <c r="E41" s="2"/>
      <c r="F41" s="19">
        <f t="shared" si="10"/>
        <v>-0.96686692400395036</v>
      </c>
      <c r="G41" s="2"/>
      <c r="H41" s="2">
        <v>-511387.42</v>
      </c>
      <c r="I41" s="2"/>
      <c r="J41" s="19">
        <f t="shared" si="11"/>
        <v>-1.9396705149250206</v>
      </c>
      <c r="K41" s="2"/>
      <c r="L41" s="2">
        <f t="shared" si="12"/>
        <v>342321.06</v>
      </c>
      <c r="M41" s="2"/>
      <c r="N41" s="19">
        <f t="shared" si="13"/>
        <v>-0.66939671687660995</v>
      </c>
      <c r="O41" s="11"/>
      <c r="P41" s="2">
        <v>-552237.88</v>
      </c>
      <c r="Q41" s="2"/>
      <c r="R41" s="19">
        <f t="shared" si="14"/>
        <v>-0.9000847345082118</v>
      </c>
      <c r="S41" s="2"/>
      <c r="T41" s="2">
        <v>-827319.82</v>
      </c>
      <c r="U41" s="2"/>
      <c r="V41" s="19">
        <f t="shared" si="15"/>
        <v>-0.85885283367878162</v>
      </c>
      <c r="W41" s="2"/>
      <c r="X41" s="2">
        <f t="shared" si="16"/>
        <v>275081.93999999994</v>
      </c>
      <c r="Y41" s="2"/>
      <c r="Z41" s="19">
        <f t="shared" si="17"/>
        <v>-0.33249770324612793</v>
      </c>
    </row>
    <row r="42" spans="1:26" s="24" customFormat="1" hidden="1" outlineLevel="1" x14ac:dyDescent="0.25">
      <c r="A42" s="44"/>
      <c r="B42" s="11" t="str">
        <f>CONCATENATE("          ", "5300", " - ", "COG$ OFFSET")</f>
        <v xml:space="preserve">          5300 - COG$ OFFSET</v>
      </c>
      <c r="C42" s="11"/>
      <c r="D42" s="2">
        <v>139637.98000000001</v>
      </c>
      <c r="E42" s="2"/>
      <c r="F42" s="19">
        <f t="shared" si="10"/>
        <v>0.7985701247529382</v>
      </c>
      <c r="G42" s="2"/>
      <c r="H42" s="2">
        <v>262132</v>
      </c>
      <c r="I42" s="2"/>
      <c r="J42" s="19">
        <f t="shared" si="11"/>
        <v>0.99425541484443536</v>
      </c>
      <c r="K42" s="2"/>
      <c r="L42" s="2">
        <f t="shared" si="12"/>
        <v>-122494.01999999999</v>
      </c>
      <c r="M42" s="2"/>
      <c r="N42" s="19">
        <f t="shared" si="13"/>
        <v>-0.46729899439976802</v>
      </c>
      <c r="O42" s="11"/>
      <c r="P42" s="2">
        <v>548206.4</v>
      </c>
      <c r="Q42" s="2"/>
      <c r="R42" s="19">
        <f t="shared" si="14"/>
        <v>0.89351388209679239</v>
      </c>
      <c r="S42" s="2"/>
      <c r="T42" s="2">
        <v>924552</v>
      </c>
      <c r="U42" s="2"/>
      <c r="V42" s="19">
        <f t="shared" si="15"/>
        <v>0.95979098516385719</v>
      </c>
      <c r="W42" s="2"/>
      <c r="X42" s="2">
        <f t="shared" si="16"/>
        <v>-376345.59999999998</v>
      </c>
      <c r="Y42" s="2"/>
      <c r="Z42" s="19">
        <f t="shared" si="17"/>
        <v>-0.40705725583850338</v>
      </c>
    </row>
    <row r="43" spans="1:26" s="24" customFormat="1" hidden="1" outlineLevel="1" x14ac:dyDescent="0.25">
      <c r="A43" s="44"/>
      <c r="B43" s="11" t="str">
        <f>CONCATENATE("          ", "5500", " - ", "FREIGHT-IN")</f>
        <v xml:space="preserve">          5500 - FREIGHT-IN</v>
      </c>
      <c r="C43" s="11"/>
      <c r="D43" s="2"/>
      <c r="E43" s="2"/>
      <c r="F43" s="19">
        <f t="shared" si="10"/>
        <v>0</v>
      </c>
      <c r="G43" s="2"/>
      <c r="H43" s="2"/>
      <c r="I43" s="2"/>
      <c r="J43" s="19">
        <f t="shared" si="11"/>
        <v>0</v>
      </c>
      <c r="K43" s="2"/>
      <c r="L43" s="2">
        <f t="shared" si="12"/>
        <v>0</v>
      </c>
      <c r="M43" s="2"/>
      <c r="N43" s="19">
        <f t="shared" si="13"/>
        <v>0</v>
      </c>
      <c r="O43" s="11"/>
      <c r="P43" s="2">
        <v>35.65</v>
      </c>
      <c r="Q43" s="2"/>
      <c r="R43" s="19">
        <f t="shared" si="14"/>
        <v>5.8105432364070619E-5</v>
      </c>
      <c r="S43" s="2"/>
      <c r="T43" s="2">
        <v>0</v>
      </c>
      <c r="U43" s="2"/>
      <c r="V43" s="19">
        <f t="shared" si="15"/>
        <v>0</v>
      </c>
      <c r="W43" s="2"/>
      <c r="X43" s="2">
        <f t="shared" si="16"/>
        <v>35.65</v>
      </c>
      <c r="Y43" s="2"/>
      <c r="Z43" s="19">
        <f t="shared" si="17"/>
        <v>0</v>
      </c>
    </row>
    <row r="44" spans="1:26" s="24" customFormat="1" hidden="1" outlineLevel="1" x14ac:dyDescent="0.25">
      <c r="A44" s="44"/>
      <c r="B44" s="11" t="str">
        <f>CONCATENATE("          ", "5582", " - ", "FREIGHT-IN-COMPUTER HARDWARE")</f>
        <v xml:space="preserve">          5582 - FREIGHT-IN-COMPUTER HARDWARE</v>
      </c>
      <c r="C44" s="11"/>
      <c r="D44" s="2"/>
      <c r="E44" s="2"/>
      <c r="F44" s="19">
        <f t="shared" si="10"/>
        <v>0</v>
      </c>
      <c r="G44" s="2"/>
      <c r="H44" s="2">
        <v>24</v>
      </c>
      <c r="I44" s="2"/>
      <c r="J44" s="19">
        <f t="shared" si="11"/>
        <v>9.1030968963218717E-5</v>
      </c>
      <c r="K44" s="2"/>
      <c r="L44" s="2">
        <f t="shared" si="12"/>
        <v>-24</v>
      </c>
      <c r="M44" s="2"/>
      <c r="N44" s="19">
        <f t="shared" si="13"/>
        <v>-1</v>
      </c>
      <c r="O44" s="11"/>
      <c r="P44" s="2"/>
      <c r="Q44" s="2"/>
      <c r="R44" s="19">
        <f t="shared" si="14"/>
        <v>0</v>
      </c>
      <c r="S44" s="2"/>
      <c r="T44" s="2">
        <v>24</v>
      </c>
      <c r="U44" s="2"/>
      <c r="V44" s="19">
        <f t="shared" si="15"/>
        <v>2.4914751840818656E-5</v>
      </c>
      <c r="W44" s="2"/>
      <c r="X44" s="2">
        <f t="shared" si="16"/>
        <v>-24</v>
      </c>
      <c r="Y44" s="2"/>
      <c r="Z44" s="19">
        <f t="shared" si="17"/>
        <v>-1</v>
      </c>
    </row>
    <row r="45" spans="1:26" s="24" customFormat="1" hidden="1" outlineLevel="1" x14ac:dyDescent="0.25">
      <c r="A45" s="44"/>
      <c r="B45" s="11" t="str">
        <f>CONCATENATE("          ", "5583", " - ", "FREIGHT-IN-COMPUTER EQUIPMENT")</f>
        <v xml:space="preserve">          5583 - FREIGHT-IN-COMPUTER EQUIPMENT</v>
      </c>
      <c r="C45" s="11"/>
      <c r="D45" s="2"/>
      <c r="E45" s="2"/>
      <c r="F45" s="19">
        <f t="shared" si="10"/>
        <v>0</v>
      </c>
      <c r="G45" s="2"/>
      <c r="H45" s="2">
        <v>156</v>
      </c>
      <c r="I45" s="2"/>
      <c r="J45" s="19">
        <f t="shared" si="11"/>
        <v>5.9170129826092164E-4</v>
      </c>
      <c r="K45" s="2"/>
      <c r="L45" s="2">
        <f t="shared" si="12"/>
        <v>-156</v>
      </c>
      <c r="M45" s="2"/>
      <c r="N45" s="19">
        <f t="shared" si="13"/>
        <v>-1</v>
      </c>
      <c r="O45" s="11"/>
      <c r="P45" s="2">
        <v>0</v>
      </c>
      <c r="Q45" s="2"/>
      <c r="R45" s="19">
        <f t="shared" si="14"/>
        <v>0</v>
      </c>
      <c r="S45" s="2"/>
      <c r="T45" s="2">
        <v>173.39</v>
      </c>
      <c r="U45" s="2"/>
      <c r="V45" s="19">
        <f t="shared" si="15"/>
        <v>1.7999870090331445E-4</v>
      </c>
      <c r="W45" s="2"/>
      <c r="X45" s="2">
        <f t="shared" si="16"/>
        <v>-173.39</v>
      </c>
      <c r="Y45" s="2"/>
      <c r="Z45" s="19">
        <f t="shared" si="17"/>
        <v>-1</v>
      </c>
    </row>
    <row r="46" spans="1:26" s="24" customFormat="1" hidden="1" outlineLevel="1" x14ac:dyDescent="0.25">
      <c r="A46" s="44"/>
      <c r="B46" s="11" t="str">
        <f>CONCATENATE("          ", "5586", " - ", "FREIGHT-IN-COMPUTER SUPPLIES")</f>
        <v xml:space="preserve">          5586 - FREIGHT-IN-COMPUTER SUPPLIES</v>
      </c>
      <c r="C46" s="11"/>
      <c r="D46" s="2"/>
      <c r="E46" s="2"/>
      <c r="F46" s="19">
        <f t="shared" si="10"/>
        <v>0</v>
      </c>
      <c r="G46" s="2"/>
      <c r="H46" s="2"/>
      <c r="I46" s="2"/>
      <c r="J46" s="19">
        <f t="shared" si="11"/>
        <v>0</v>
      </c>
      <c r="K46" s="2"/>
      <c r="L46" s="2">
        <f t="shared" si="12"/>
        <v>0</v>
      </c>
      <c r="M46" s="2"/>
      <c r="N46" s="19">
        <f t="shared" si="13"/>
        <v>0</v>
      </c>
      <c r="O46" s="11"/>
      <c r="P46" s="2"/>
      <c r="Q46" s="2"/>
      <c r="R46" s="19">
        <f t="shared" si="14"/>
        <v>0</v>
      </c>
      <c r="S46" s="2"/>
      <c r="T46" s="2">
        <v>24.12</v>
      </c>
      <c r="U46" s="2"/>
      <c r="V46" s="19">
        <f t="shared" si="15"/>
        <v>2.5039325600022752E-5</v>
      </c>
      <c r="W46" s="2"/>
      <c r="X46" s="2">
        <f t="shared" si="16"/>
        <v>-24.12</v>
      </c>
      <c r="Y46" s="2"/>
      <c r="Z46" s="19">
        <f t="shared" si="17"/>
        <v>-1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5" t="s">
        <v>107</v>
      </c>
      <c r="C48" s="25"/>
      <c r="D48" s="21">
        <f>D12-D34</f>
        <v>57602.059999999969</v>
      </c>
      <c r="E48" s="13"/>
      <c r="F48" s="22">
        <f>IF(D$12=0,0,D48/D$12)</f>
        <v>0.3294181442629448</v>
      </c>
      <c r="G48" s="13"/>
      <c r="H48" s="21">
        <f>H12-H34</f>
        <v>1514.539999999979</v>
      </c>
      <c r="I48" s="13"/>
      <c r="J48" s="22">
        <f>IF(H$12=0,0,H48/H$12)</f>
        <v>5.7445851555646401E-3</v>
      </c>
      <c r="K48" s="16"/>
      <c r="L48" s="21">
        <f>+D48-H48</f>
        <v>56087.51999999999</v>
      </c>
      <c r="M48" s="16"/>
      <c r="N48" s="22">
        <f>IF(H48=0,0,L48/H48)</f>
        <v>37.032709601595712</v>
      </c>
      <c r="O48" s="26"/>
      <c r="P48" s="21">
        <f>P12-P34</f>
        <v>122117.32999999984</v>
      </c>
      <c r="Q48" s="13"/>
      <c r="R48" s="22">
        <f>IF(P$12=0,0,P48/P$12)</f>
        <v>0.19903731441222675</v>
      </c>
      <c r="S48" s="13"/>
      <c r="T48" s="21">
        <f>T12-T34</f>
        <v>38732.729999999865</v>
      </c>
      <c r="U48" s="13"/>
      <c r="V48" s="22">
        <f>IF(T$12=0,0,T48/T$12)</f>
        <v>4.0209014836142865E-2</v>
      </c>
      <c r="W48" s="16"/>
      <c r="X48" s="21">
        <f>+P48-T48</f>
        <v>83384.599999999977</v>
      </c>
      <c r="Y48" s="16"/>
      <c r="Z48" s="22">
        <f>IF(T48=0,0,X48/T48)</f>
        <v>2.1528201084715759</v>
      </c>
    </row>
    <row r="49" spans="1:26" x14ac:dyDescent="0.25">
      <c r="A49" s="9"/>
      <c r="B49" s="10"/>
      <c r="C49" s="9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7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x14ac:dyDescent="0.25">
      <c r="A50" s="10"/>
      <c r="B50" s="26" t="s">
        <v>294</v>
      </c>
      <c r="C50" s="10"/>
      <c r="D50" s="20">
        <f>SUM(OSRRefD22x_0)</f>
        <v>12211.060000000001</v>
      </c>
      <c r="E50" s="20"/>
      <c r="F50" s="30">
        <f t="shared" ref="F50:F60" si="18">IF(D$12=0,0,D50/D$12)</f>
        <v>6.9833348402530707E-2</v>
      </c>
      <c r="G50" s="20"/>
      <c r="H50" s="20">
        <f>SUM(OSRRefH22x_0)</f>
        <v>12326.230000000001</v>
      </c>
      <c r="I50" s="20"/>
      <c r="J50" s="30">
        <f t="shared" ref="J50:J60" si="19">IF(H$12=0,0,H50/H$12)</f>
        <v>4.6752860856812316E-2</v>
      </c>
      <c r="K50" s="4"/>
      <c r="L50" s="20">
        <f t="shared" ref="L50:L60" si="20">+D50-H50</f>
        <v>-115.17000000000007</v>
      </c>
      <c r="M50" s="4"/>
      <c r="N50" s="30">
        <f t="shared" ref="N50:N60" si="21">IF(H50=0,0,L50/H50)</f>
        <v>-9.3434894529795445E-3</v>
      </c>
      <c r="O50" s="10"/>
      <c r="P50" s="20">
        <f>SUM(OSRRefP22x_0)</f>
        <v>43136.049999999996</v>
      </c>
      <c r="Q50" s="20"/>
      <c r="R50" s="30">
        <f t="shared" ref="R50:R60" si="22">IF(P$12=0,0,P50/P$12)</f>
        <v>7.0306839711870087E-2</v>
      </c>
      <c r="S50" s="20"/>
      <c r="T50" s="20">
        <f>SUM(OSRRefT22x_0)</f>
        <v>39241.700000000012</v>
      </c>
      <c r="U50" s="20"/>
      <c r="V50" s="30">
        <f t="shared" ref="V50:V60" si="23">IF(T$12=0,0,T50/T$12)</f>
        <v>4.0737384054660576E-2</v>
      </c>
      <c r="W50" s="4"/>
      <c r="X50" s="20">
        <f t="shared" ref="X50:X60" si="24">+P50-T50</f>
        <v>3894.349999999984</v>
      </c>
      <c r="Y50" s="4"/>
      <c r="Z50" s="30">
        <f t="shared" ref="Z50:Z60" si="25">IF(T50=0,0,X50/T50)</f>
        <v>9.924009408358922E-2</v>
      </c>
    </row>
    <row r="51" spans="1:26" s="27" customFormat="1" outlineLevel="1" collapsed="1" x14ac:dyDescent="0.25">
      <c r="A51" s="29"/>
      <c r="B51" s="14" t="str">
        <f>CONCATENATE("     ","*Benefits                                         ")</f>
        <v xml:space="preserve">     *Benefits                                         </v>
      </c>
      <c r="C51" s="14"/>
      <c r="D51" s="1">
        <f>SUM(OSRRefD22_0x_0)</f>
        <v>1500.14</v>
      </c>
      <c r="E51" s="1"/>
      <c r="F51" s="5">
        <f t="shared" si="18"/>
        <v>8.5790913542782045E-3</v>
      </c>
      <c r="G51" s="1"/>
      <c r="H51" s="1">
        <f>SUM(OSRRefH22_0x_0)</f>
        <v>2917.2400000000007</v>
      </c>
      <c r="I51" s="1"/>
      <c r="J51" s="5">
        <f t="shared" si="19"/>
        <v>1.1064965995760843E-2</v>
      </c>
      <c r="K51" s="1"/>
      <c r="L51" s="1">
        <f t="shared" si="20"/>
        <v>-1417.1000000000006</v>
      </c>
      <c r="M51" s="1"/>
      <c r="N51" s="5">
        <f t="shared" si="21"/>
        <v>-0.48576736915714863</v>
      </c>
      <c r="O51" s="14"/>
      <c r="P51" s="1">
        <f>SUM(OSRRefP22_0x_0)</f>
        <v>4659.37</v>
      </c>
      <c r="Q51" s="1"/>
      <c r="R51" s="5">
        <f t="shared" si="22"/>
        <v>7.5942414696824612E-3</v>
      </c>
      <c r="S51" s="1"/>
      <c r="T51" s="1">
        <f>SUM(OSRRefT22_0x_0)</f>
        <v>8488.76</v>
      </c>
      <c r="U51" s="1"/>
      <c r="V51" s="5">
        <f t="shared" si="23"/>
        <v>8.8123062015111574E-3</v>
      </c>
      <c r="W51" s="1"/>
      <c r="X51" s="1">
        <f t="shared" si="24"/>
        <v>-3829.3900000000003</v>
      </c>
      <c r="Y51" s="1"/>
      <c r="Z51" s="5">
        <f t="shared" si="25"/>
        <v>-0.45111300119216474</v>
      </c>
    </row>
    <row r="52" spans="1:26" s="24" customFormat="1" hidden="1" outlineLevel="2" x14ac:dyDescent="0.25">
      <c r="A52" s="28"/>
      <c r="B52" s="11" t="str">
        <f>CONCATENATE("          ", "6111", " - ", "F.I.C.A.")</f>
        <v xml:space="preserve">          6111 - F.I.C.A.</v>
      </c>
      <c r="C52" s="11"/>
      <c r="D52" s="7">
        <v>548.86</v>
      </c>
      <c r="E52" s="2"/>
      <c r="F52" s="6">
        <f t="shared" si="18"/>
        <v>3.1388537607884162E-3</v>
      </c>
      <c r="G52" s="2"/>
      <c r="H52" s="7">
        <v>530.98</v>
      </c>
      <c r="I52" s="2"/>
      <c r="J52" s="6">
        <f t="shared" si="19"/>
        <v>2.0139843291704113E-3</v>
      </c>
      <c r="K52" s="2"/>
      <c r="L52" s="7">
        <f t="shared" si="20"/>
        <v>17.879999999999995</v>
      </c>
      <c r="M52" s="2"/>
      <c r="N52" s="6">
        <f t="shared" si="21"/>
        <v>3.3673584692455447E-2</v>
      </c>
      <c r="O52" s="11"/>
      <c r="P52" s="7">
        <v>1609.1</v>
      </c>
      <c r="Q52" s="2"/>
      <c r="R52" s="6">
        <f t="shared" si="22"/>
        <v>2.6226494030021329E-3</v>
      </c>
      <c r="S52" s="2"/>
      <c r="T52" s="7">
        <v>1569.36</v>
      </c>
      <c r="U52" s="2"/>
      <c r="V52" s="6">
        <f t="shared" si="23"/>
        <v>1.6291756228711319E-3</v>
      </c>
      <c r="W52" s="2"/>
      <c r="X52" s="7">
        <f t="shared" si="24"/>
        <v>39.740000000000009</v>
      </c>
      <c r="Y52" s="2"/>
      <c r="Z52" s="6">
        <f t="shared" si="25"/>
        <v>2.5322424427792228E-2</v>
      </c>
    </row>
    <row r="53" spans="1:26" s="24" customFormat="1" hidden="1" outlineLevel="2" x14ac:dyDescent="0.25">
      <c r="A53" s="28"/>
      <c r="B53" s="11" t="str">
        <f>CONCATENATE("          ", "6112", " - ", "COMPENSATION INSURANCE")</f>
        <v xml:space="preserve">          6112 - COMPENSATION INSURANCE</v>
      </c>
      <c r="C53" s="11"/>
      <c r="D53" s="7">
        <v>135.76</v>
      </c>
      <c r="E53" s="2"/>
      <c r="F53" s="6">
        <f t="shared" si="18"/>
        <v>7.7639249820470675E-4</v>
      </c>
      <c r="G53" s="2"/>
      <c r="H53" s="7">
        <v>168.59</v>
      </c>
      <c r="I53" s="2"/>
      <c r="J53" s="6">
        <f t="shared" si="19"/>
        <v>6.394546273962102E-4</v>
      </c>
      <c r="K53" s="2"/>
      <c r="L53" s="7">
        <f t="shared" si="20"/>
        <v>-32.830000000000013</v>
      </c>
      <c r="M53" s="2"/>
      <c r="N53" s="6">
        <f t="shared" si="21"/>
        <v>-0.1947327836763747</v>
      </c>
      <c r="O53" s="11"/>
      <c r="P53" s="7">
        <v>425.95</v>
      </c>
      <c r="Q53" s="2"/>
      <c r="R53" s="6">
        <f t="shared" si="22"/>
        <v>6.9424989945233886E-4</v>
      </c>
      <c r="S53" s="2"/>
      <c r="T53" s="7">
        <v>312.5</v>
      </c>
      <c r="U53" s="2"/>
      <c r="V53" s="6">
        <f t="shared" si="23"/>
        <v>3.2441083126065961E-4</v>
      </c>
      <c r="W53" s="2"/>
      <c r="X53" s="7">
        <f t="shared" si="24"/>
        <v>113.44999999999999</v>
      </c>
      <c r="Y53" s="2"/>
      <c r="Z53" s="6">
        <f t="shared" si="25"/>
        <v>0.36303999999999997</v>
      </c>
    </row>
    <row r="54" spans="1:26" s="24" customFormat="1" hidden="1" outlineLevel="2" x14ac:dyDescent="0.25">
      <c r="A54" s="28"/>
      <c r="B54" s="11" t="str">
        <f>CONCATENATE("          ", "6113", " - ", "GROUP INSURANCE")</f>
        <v xml:space="preserve">          6113 - GROUP INSURANCE</v>
      </c>
      <c r="C54" s="11"/>
      <c r="D54" s="7">
        <v>194.97</v>
      </c>
      <c r="E54" s="2"/>
      <c r="F54" s="6">
        <f t="shared" si="18"/>
        <v>1.1150062269812294E-3</v>
      </c>
      <c r="G54" s="2"/>
      <c r="H54" s="7">
        <v>1035.69</v>
      </c>
      <c r="I54" s="2"/>
      <c r="J54" s="6">
        <f t="shared" si="19"/>
        <v>3.9283276768964995E-3</v>
      </c>
      <c r="K54" s="2"/>
      <c r="L54" s="7">
        <f t="shared" si="20"/>
        <v>-840.72</v>
      </c>
      <c r="M54" s="2"/>
      <c r="N54" s="6">
        <f t="shared" si="21"/>
        <v>-0.81174868927961064</v>
      </c>
      <c r="O54" s="11"/>
      <c r="P54" s="7">
        <v>1188.8900000000001</v>
      </c>
      <c r="Q54" s="2"/>
      <c r="R54" s="6">
        <f t="shared" si="22"/>
        <v>1.9377550486204748E-3</v>
      </c>
      <c r="S54" s="2"/>
      <c r="T54" s="7">
        <v>3107.07</v>
      </c>
      <c r="U54" s="2"/>
      <c r="V54" s="6">
        <f t="shared" si="23"/>
        <v>3.2254949167521848E-3</v>
      </c>
      <c r="W54" s="2"/>
      <c r="X54" s="7">
        <f t="shared" si="24"/>
        <v>-1918.18</v>
      </c>
      <c r="Y54" s="2"/>
      <c r="Z54" s="6">
        <f t="shared" si="25"/>
        <v>-0.61735976337835963</v>
      </c>
    </row>
    <row r="55" spans="1:26" s="24" customFormat="1" hidden="1" outlineLevel="2" x14ac:dyDescent="0.25">
      <c r="A55" s="28"/>
      <c r="B55" s="11" t="str">
        <f>CONCATENATE("          ", "6114", " - ", "STATE UNEMPLOYMENT INSURANCE")</f>
        <v xml:space="preserve">          6114 - STATE UNEMPLOYMENT INSURANCE</v>
      </c>
      <c r="C55" s="11"/>
      <c r="D55" s="7">
        <v>23.85</v>
      </c>
      <c r="E55" s="2"/>
      <c r="F55" s="6">
        <f t="shared" si="18"/>
        <v>1.3639482234960415E-4</v>
      </c>
      <c r="G55" s="2"/>
      <c r="H55" s="7">
        <v>23.69</v>
      </c>
      <c r="I55" s="2"/>
      <c r="J55" s="6">
        <f t="shared" si="19"/>
        <v>8.9855152280777153E-5</v>
      </c>
      <c r="K55" s="2"/>
      <c r="L55" s="7">
        <f t="shared" si="20"/>
        <v>0.16000000000000014</v>
      </c>
      <c r="M55" s="2"/>
      <c r="N55" s="6">
        <f t="shared" si="21"/>
        <v>6.7539046010975153E-3</v>
      </c>
      <c r="O55" s="11"/>
      <c r="P55" s="7">
        <v>74.83</v>
      </c>
      <c r="Q55" s="2"/>
      <c r="R55" s="6">
        <f t="shared" si="22"/>
        <v>1.2196436195801976E-4</v>
      </c>
      <c r="S55" s="2"/>
      <c r="T55" s="7">
        <v>58.62</v>
      </c>
      <c r="U55" s="2"/>
      <c r="V55" s="6">
        <f t="shared" si="23"/>
        <v>6.0854281371199571E-5</v>
      </c>
      <c r="W55" s="2"/>
      <c r="X55" s="7">
        <f t="shared" si="24"/>
        <v>16.21</v>
      </c>
      <c r="Y55" s="2"/>
      <c r="Z55" s="6">
        <f t="shared" si="25"/>
        <v>0.27652678266803143</v>
      </c>
    </row>
    <row r="56" spans="1:26" s="24" customFormat="1" hidden="1" outlineLevel="2" x14ac:dyDescent="0.25">
      <c r="A56" s="28"/>
      <c r="B56" s="11" t="str">
        <f>CONCATENATE("          ", "6115", " - ", "P.E.R.S.")</f>
        <v xml:space="preserve">          6115 - P.E.R.S.</v>
      </c>
      <c r="C56" s="11"/>
      <c r="D56" s="7">
        <v>99.25</v>
      </c>
      <c r="E56" s="2"/>
      <c r="F56" s="6">
        <f t="shared" si="18"/>
        <v>5.6759690223053298E-4</v>
      </c>
      <c r="G56" s="2"/>
      <c r="H56" s="7">
        <v>176.42</v>
      </c>
      <c r="I56" s="2"/>
      <c r="J56" s="6">
        <f t="shared" si="19"/>
        <v>6.6915348102046025E-4</v>
      </c>
      <c r="K56" s="2"/>
      <c r="L56" s="7">
        <f t="shared" si="20"/>
        <v>-77.169999999999987</v>
      </c>
      <c r="M56" s="2"/>
      <c r="N56" s="6">
        <f t="shared" si="21"/>
        <v>-0.43742206099081732</v>
      </c>
      <c r="O56" s="11"/>
      <c r="P56" s="7">
        <v>332.4</v>
      </c>
      <c r="Q56" s="2"/>
      <c r="R56" s="6">
        <f t="shared" si="22"/>
        <v>5.4177407343105396E-4</v>
      </c>
      <c r="S56" s="2"/>
      <c r="T56" s="7">
        <v>617.47</v>
      </c>
      <c r="U56" s="2"/>
      <c r="V56" s="6">
        <f t="shared" si="23"/>
        <v>6.4100465913126241E-4</v>
      </c>
      <c r="W56" s="2"/>
      <c r="X56" s="7">
        <f t="shared" si="24"/>
        <v>-285.07000000000005</v>
      </c>
      <c r="Y56" s="2"/>
      <c r="Z56" s="6">
        <f t="shared" si="25"/>
        <v>-0.46167425138063395</v>
      </c>
    </row>
    <row r="57" spans="1:26" s="24" customFormat="1" hidden="1" outlineLevel="2" x14ac:dyDescent="0.25">
      <c r="A57" s="28"/>
      <c r="B57" s="11" t="str">
        <f>CONCATENATE("          ", "6117", " - ", "RETIREMENT STAFF HOURLY")</f>
        <v xml:space="preserve">          6117 - RETIREMENT STAFF HOURLY</v>
      </c>
      <c r="C57" s="11"/>
      <c r="D57" s="7">
        <v>60</v>
      </c>
      <c r="E57" s="2"/>
      <c r="F57" s="6">
        <f t="shared" si="18"/>
        <v>3.4313162855246322E-4</v>
      </c>
      <c r="G57" s="2"/>
      <c r="H57" s="7">
        <v>185.73</v>
      </c>
      <c r="I57" s="2"/>
      <c r="J57" s="6">
        <f t="shared" si="19"/>
        <v>7.0446591106410885E-4</v>
      </c>
      <c r="K57" s="2"/>
      <c r="L57" s="7">
        <f t="shared" si="20"/>
        <v>-125.72999999999999</v>
      </c>
      <c r="M57" s="2"/>
      <c r="N57" s="6">
        <f t="shared" si="21"/>
        <v>-0.6769504118882248</v>
      </c>
      <c r="O57" s="11"/>
      <c r="P57" s="7">
        <v>282.7</v>
      </c>
      <c r="Q57" s="2"/>
      <c r="R57" s="6">
        <f t="shared" si="22"/>
        <v>4.6076874416052635E-4</v>
      </c>
      <c r="S57" s="2"/>
      <c r="T57" s="7">
        <v>623.80999999999995</v>
      </c>
      <c r="U57" s="2"/>
      <c r="V57" s="6">
        <f t="shared" si="23"/>
        <v>6.4758630607587853E-4</v>
      </c>
      <c r="W57" s="2"/>
      <c r="X57" s="7">
        <f t="shared" si="24"/>
        <v>-341.10999999999996</v>
      </c>
      <c r="Y57" s="2"/>
      <c r="Z57" s="6">
        <f t="shared" si="25"/>
        <v>-0.5468171398342444</v>
      </c>
    </row>
    <row r="58" spans="1:26" s="24" customFormat="1" hidden="1" outlineLevel="2" x14ac:dyDescent="0.25">
      <c r="A58" s="28"/>
      <c r="B58" s="11" t="str">
        <f>CONCATENATE("          ", "6118", " - ", "VACATION")</f>
        <v xml:space="preserve">          6118 - VACATION</v>
      </c>
      <c r="C58" s="11"/>
      <c r="D58" s="7">
        <v>123.2</v>
      </c>
      <c r="E58" s="2"/>
      <c r="F58" s="6">
        <f t="shared" si="18"/>
        <v>7.0456361062772456E-4</v>
      </c>
      <c r="G58" s="2"/>
      <c r="H58" s="7">
        <v>257.8</v>
      </c>
      <c r="I58" s="2"/>
      <c r="J58" s="6">
        <f t="shared" si="19"/>
        <v>9.7782432494657439E-4</v>
      </c>
      <c r="K58" s="2"/>
      <c r="L58" s="7">
        <f t="shared" si="20"/>
        <v>-134.60000000000002</v>
      </c>
      <c r="M58" s="2"/>
      <c r="N58" s="6">
        <f t="shared" si="21"/>
        <v>-0.52211016291698997</v>
      </c>
      <c r="O58" s="11"/>
      <c r="P58" s="7">
        <v>252.56</v>
      </c>
      <c r="Q58" s="2"/>
      <c r="R58" s="6">
        <f t="shared" si="22"/>
        <v>4.1164398310994887E-4</v>
      </c>
      <c r="S58" s="2"/>
      <c r="T58" s="7">
        <v>773.4</v>
      </c>
      <c r="U58" s="2"/>
      <c r="V58" s="6">
        <f t="shared" si="23"/>
        <v>8.0287787807038118E-4</v>
      </c>
      <c r="W58" s="2"/>
      <c r="X58" s="7">
        <f t="shared" si="24"/>
        <v>-520.83999999999992</v>
      </c>
      <c r="Y58" s="2"/>
      <c r="Z58" s="6">
        <f t="shared" si="25"/>
        <v>-0.673441944659943</v>
      </c>
    </row>
    <row r="59" spans="1:26" s="24" customFormat="1" hidden="1" outlineLevel="2" x14ac:dyDescent="0.25">
      <c r="A59" s="28"/>
      <c r="B59" s="11" t="str">
        <f>CONCATENATE("          ", "6119", " - ", "SICK LEAVE")</f>
        <v xml:space="preserve">          6119 - SICK LEAVE</v>
      </c>
      <c r="C59" s="11"/>
      <c r="D59" s="7">
        <v>147.6</v>
      </c>
      <c r="E59" s="2"/>
      <c r="F59" s="6">
        <f t="shared" si="18"/>
        <v>8.4410380623905947E-4</v>
      </c>
      <c r="G59" s="2"/>
      <c r="H59" s="7">
        <v>256.57</v>
      </c>
      <c r="I59" s="2"/>
      <c r="J59" s="6">
        <f t="shared" si="19"/>
        <v>9.7315898778720935E-4</v>
      </c>
      <c r="K59" s="2"/>
      <c r="L59" s="7">
        <f t="shared" si="20"/>
        <v>-108.97</v>
      </c>
      <c r="M59" s="2"/>
      <c r="N59" s="6">
        <f t="shared" si="21"/>
        <v>-0.42471840043652803</v>
      </c>
      <c r="O59" s="11"/>
      <c r="P59" s="7">
        <v>302.58</v>
      </c>
      <c r="Q59" s="2"/>
      <c r="R59" s="6">
        <f t="shared" si="22"/>
        <v>4.9317087586873737E-4</v>
      </c>
      <c r="S59" s="2"/>
      <c r="T59" s="7">
        <v>769.71</v>
      </c>
      <c r="U59" s="2"/>
      <c r="V59" s="6">
        <f t="shared" si="23"/>
        <v>7.9904723497485543E-4</v>
      </c>
      <c r="W59" s="2"/>
      <c r="X59" s="7">
        <f t="shared" si="24"/>
        <v>-467.13000000000005</v>
      </c>
      <c r="Y59" s="2"/>
      <c r="Z59" s="6">
        <f t="shared" si="25"/>
        <v>-0.60689090696496084</v>
      </c>
    </row>
    <row r="60" spans="1:26" s="24" customFormat="1" hidden="1" outlineLevel="2" x14ac:dyDescent="0.25">
      <c r="A60" s="28"/>
      <c r="B60" s="11" t="str">
        <f>CONCATENATE("          ", "6156", " - ", "EMPLOYEE MEALS")</f>
        <v xml:space="preserve">          6156 - EMPLOYEE MEALS</v>
      </c>
      <c r="C60" s="11"/>
      <c r="D60" s="7">
        <v>166.65</v>
      </c>
      <c r="E60" s="2"/>
      <c r="F60" s="6">
        <f t="shared" si="18"/>
        <v>9.5304809830446663E-4</v>
      </c>
      <c r="G60" s="2"/>
      <c r="H60" s="7">
        <v>281.77</v>
      </c>
      <c r="I60" s="2"/>
      <c r="J60" s="6">
        <f t="shared" si="19"/>
        <v>1.0687415051985889E-3</v>
      </c>
      <c r="K60" s="2"/>
      <c r="L60" s="7">
        <f t="shared" si="20"/>
        <v>-115.11999999999998</v>
      </c>
      <c r="M60" s="2"/>
      <c r="N60" s="6">
        <f t="shared" si="21"/>
        <v>-0.40856017319090032</v>
      </c>
      <c r="O60" s="11"/>
      <c r="P60" s="7">
        <v>190.36</v>
      </c>
      <c r="Q60" s="2"/>
      <c r="R60" s="6">
        <f t="shared" si="22"/>
        <v>3.1026508007922819E-4</v>
      </c>
      <c r="S60" s="2"/>
      <c r="T60" s="7">
        <v>656.82</v>
      </c>
      <c r="U60" s="2"/>
      <c r="V60" s="6">
        <f t="shared" si="23"/>
        <v>6.8185447100360468E-4</v>
      </c>
      <c r="W60" s="2"/>
      <c r="X60" s="7">
        <f t="shared" si="24"/>
        <v>-466.46000000000004</v>
      </c>
      <c r="Y60" s="2"/>
      <c r="Z60" s="6">
        <f t="shared" si="25"/>
        <v>-0.71017934898450108</v>
      </c>
    </row>
    <row r="61" spans="1:26" s="27" customFormat="1" outlineLevel="1" collapsed="1" x14ac:dyDescent="0.25">
      <c r="A61" s="29"/>
      <c r="B61" s="14" t="str">
        <f>CONCATENATE("     ","*Payroll                                          ")</f>
        <v xml:space="preserve">     *Payroll                                          </v>
      </c>
      <c r="C61" s="14"/>
      <c r="D61" s="1">
        <f>SUM(OSRRefD22_1x_0)</f>
        <v>9752.59</v>
      </c>
      <c r="E61" s="1"/>
      <c r="F61" s="5">
        <f t="shared" ref="F61:F66" si="26">IF(D$12=0,0,D61/D$12)</f>
        <v>5.5773701488407788E-2</v>
      </c>
      <c r="G61" s="1"/>
      <c r="H61" s="1">
        <f>SUM(OSRRefH22_1x_0)</f>
        <v>7451.68</v>
      </c>
      <c r="I61" s="1"/>
      <c r="J61" s="5">
        <f t="shared" ref="J61:J66" si="27">IF(H$12=0,0,H61/H$12)</f>
        <v>2.826390211682657E-2</v>
      </c>
      <c r="K61" s="1"/>
      <c r="L61" s="1">
        <f t="shared" ref="L61:L66" si="28">+D61-H61</f>
        <v>2300.91</v>
      </c>
      <c r="M61" s="1"/>
      <c r="N61" s="5">
        <f t="shared" ref="N61:N66" si="29">IF(H61=0,0,L61/H61)</f>
        <v>0.30877734953728553</v>
      </c>
      <c r="O61" s="14"/>
      <c r="P61" s="1">
        <f>SUM(OSRRefP22_1x_0)</f>
        <v>29628.46</v>
      </c>
      <c r="Q61" s="1"/>
      <c r="R61" s="5">
        <f t="shared" ref="R61:R66" si="30">IF(P$12=0,0,P61/P$12)</f>
        <v>4.8291009216874382E-2</v>
      </c>
      <c r="S61" s="1"/>
      <c r="T61" s="1">
        <f>SUM(OSRRefT22_1x_0)</f>
        <v>23259.17</v>
      </c>
      <c r="U61" s="1"/>
      <c r="V61" s="5">
        <f t="shared" ref="V61:V66" si="31">IF(T$12=0,0,T61/T$12)</f>
        <v>2.4145685357225586E-2</v>
      </c>
      <c r="W61" s="1"/>
      <c r="X61" s="1">
        <f t="shared" ref="X61:X66" si="32">+P61-T61</f>
        <v>6369.2900000000009</v>
      </c>
      <c r="Y61" s="1"/>
      <c r="Z61" s="5">
        <f t="shared" ref="Z61:Z66" si="33">IF(T61=0,0,X61/T61)</f>
        <v>0.27383995215650436</v>
      </c>
    </row>
    <row r="62" spans="1:26" s="24" customFormat="1" hidden="1" outlineLevel="2" x14ac:dyDescent="0.25">
      <c r="A62" s="28"/>
      <c r="B62" s="11" t="str">
        <f>CONCATENATE("          ", "6002", " - ", "STAFF SALARIES")</f>
        <v xml:space="preserve">          6002 - STAFF SALARIES</v>
      </c>
      <c r="C62" s="11"/>
      <c r="D62" s="7">
        <v>1307.7</v>
      </c>
      <c r="E62" s="2"/>
      <c r="F62" s="6">
        <f t="shared" si="26"/>
        <v>7.4785538443009362E-3</v>
      </c>
      <c r="G62" s="2"/>
      <c r="H62" s="7">
        <v>2282.3000000000002</v>
      </c>
      <c r="I62" s="2"/>
      <c r="J62" s="6">
        <f t="shared" si="27"/>
        <v>8.6566658526980866E-3</v>
      </c>
      <c r="K62" s="2"/>
      <c r="L62" s="7">
        <f t="shared" si="28"/>
        <v>-974.60000000000014</v>
      </c>
      <c r="M62" s="2"/>
      <c r="N62" s="6">
        <f t="shared" si="29"/>
        <v>-0.42702536914516059</v>
      </c>
      <c r="O62" s="11"/>
      <c r="P62" s="7">
        <v>7402.32</v>
      </c>
      <c r="Q62" s="2"/>
      <c r="R62" s="6">
        <f t="shared" si="30"/>
        <v>1.2064937001324187E-2</v>
      </c>
      <c r="S62" s="2"/>
      <c r="T62" s="7">
        <v>6961.44</v>
      </c>
      <c r="U62" s="2"/>
      <c r="V62" s="6">
        <f t="shared" si="31"/>
        <v>7.226772918947859E-3</v>
      </c>
      <c r="W62" s="2"/>
      <c r="X62" s="7">
        <f t="shared" si="32"/>
        <v>440.88000000000011</v>
      </c>
      <c r="Y62" s="2"/>
      <c r="Z62" s="6">
        <f t="shared" si="33"/>
        <v>6.3331724470799169E-2</v>
      </c>
    </row>
    <row r="63" spans="1:26" s="24" customFormat="1" hidden="1" outlineLevel="2" x14ac:dyDescent="0.25">
      <c r="A63" s="28"/>
      <c r="B63" s="11" t="str">
        <f>CONCATENATE("          ", "6004", " - ", "STAFF HOURLY")</f>
        <v xml:space="preserve">          6004 - STAFF HOURLY</v>
      </c>
      <c r="C63" s="11"/>
      <c r="D63" s="7">
        <v>3890.2</v>
      </c>
      <c r="E63" s="2"/>
      <c r="F63" s="6">
        <f t="shared" si="26"/>
        <v>2.2247511023246541E-2</v>
      </c>
      <c r="G63" s="2"/>
      <c r="H63" s="7">
        <v>3714.5</v>
      </c>
      <c r="I63" s="2"/>
      <c r="J63" s="6">
        <f t="shared" si="27"/>
        <v>1.4088938925578163E-2</v>
      </c>
      <c r="K63" s="2"/>
      <c r="L63" s="7">
        <f t="shared" si="28"/>
        <v>175.69999999999982</v>
      </c>
      <c r="M63" s="2"/>
      <c r="N63" s="6">
        <f t="shared" si="29"/>
        <v>4.7301117243235921E-2</v>
      </c>
      <c r="O63" s="11"/>
      <c r="P63" s="7">
        <v>5610.03</v>
      </c>
      <c r="Q63" s="2"/>
      <c r="R63" s="6">
        <f t="shared" si="30"/>
        <v>9.1437088001516727E-3</v>
      </c>
      <c r="S63" s="2"/>
      <c r="T63" s="7">
        <v>10549.21</v>
      </c>
      <c r="U63" s="2"/>
      <c r="V63" s="6">
        <f t="shared" si="31"/>
        <v>1.0951289552778441E-2</v>
      </c>
      <c r="W63" s="2"/>
      <c r="X63" s="7">
        <f t="shared" si="32"/>
        <v>-4939.1799999999994</v>
      </c>
      <c r="Y63" s="2"/>
      <c r="Z63" s="6">
        <f t="shared" si="33"/>
        <v>-0.46820378018827946</v>
      </c>
    </row>
    <row r="64" spans="1:26" s="24" customFormat="1" hidden="1" outlineLevel="2" x14ac:dyDescent="0.25">
      <c r="A64" s="28"/>
      <c r="B64" s="11" t="str">
        <f>CONCATENATE("          ", "6005", " - ", "TEMPORARY WAGES-HOURLY")</f>
        <v xml:space="preserve">          6005 - TEMPORARY WAGES-HOURLY</v>
      </c>
      <c r="C64" s="11"/>
      <c r="D64" s="7">
        <v>1425.28</v>
      </c>
      <c r="E64" s="2"/>
      <c r="F64" s="6">
        <f t="shared" si="26"/>
        <v>8.1509774590542462E-3</v>
      </c>
      <c r="G64" s="2"/>
      <c r="H64" s="7"/>
      <c r="I64" s="2"/>
      <c r="J64" s="6">
        <f t="shared" si="27"/>
        <v>0</v>
      </c>
      <c r="K64" s="2"/>
      <c r="L64" s="7">
        <f t="shared" si="28"/>
        <v>1425.28</v>
      </c>
      <c r="M64" s="2"/>
      <c r="N64" s="6">
        <f t="shared" si="29"/>
        <v>0</v>
      </c>
      <c r="O64" s="11"/>
      <c r="P64" s="7">
        <v>1425.28</v>
      </c>
      <c r="Q64" s="2"/>
      <c r="R64" s="6">
        <f t="shared" si="30"/>
        <v>2.323043776714238E-3</v>
      </c>
      <c r="S64" s="2"/>
      <c r="T64" s="7"/>
      <c r="U64" s="2"/>
      <c r="V64" s="6">
        <f t="shared" si="31"/>
        <v>0</v>
      </c>
      <c r="W64" s="2"/>
      <c r="X64" s="7">
        <f t="shared" si="32"/>
        <v>1425.28</v>
      </c>
      <c r="Y64" s="2"/>
      <c r="Z64" s="6">
        <f t="shared" si="33"/>
        <v>0</v>
      </c>
    </row>
    <row r="65" spans="1:26" s="24" customFormat="1" hidden="1" outlineLevel="2" x14ac:dyDescent="0.25">
      <c r="A65" s="28"/>
      <c r="B65" s="11" t="str">
        <f>CONCATENATE("          ", "6007", " - ", "STUDENT HOURLY")</f>
        <v xml:space="preserve">          6007 - STUDENT HOURLY</v>
      </c>
      <c r="C65" s="11"/>
      <c r="D65" s="7">
        <v>1992.89</v>
      </c>
      <c r="E65" s="2"/>
      <c r="F65" s="6">
        <f t="shared" si="26"/>
        <v>1.1397059853765308E-2</v>
      </c>
      <c r="G65" s="2"/>
      <c r="H65" s="7">
        <v>1454.88</v>
      </c>
      <c r="I65" s="2"/>
      <c r="J65" s="6">
        <f t="shared" si="27"/>
        <v>5.518297338550319E-3</v>
      </c>
      <c r="K65" s="2"/>
      <c r="L65" s="7">
        <f t="shared" si="28"/>
        <v>538.01</v>
      </c>
      <c r="M65" s="2"/>
      <c r="N65" s="6">
        <f t="shared" si="29"/>
        <v>0.36979682173100181</v>
      </c>
      <c r="O65" s="11"/>
      <c r="P65" s="7">
        <v>12896.76</v>
      </c>
      <c r="Q65" s="2"/>
      <c r="R65" s="6">
        <f t="shared" si="30"/>
        <v>2.1020247290200602E-2</v>
      </c>
      <c r="S65" s="2"/>
      <c r="T65" s="7">
        <v>5748.52</v>
      </c>
      <c r="U65" s="2"/>
      <c r="V65" s="6">
        <f t="shared" si="31"/>
        <v>5.9676228854992864E-3</v>
      </c>
      <c r="W65" s="2"/>
      <c r="X65" s="7">
        <f t="shared" si="32"/>
        <v>7148.24</v>
      </c>
      <c r="Y65" s="2"/>
      <c r="Z65" s="6">
        <f t="shared" si="33"/>
        <v>1.2434922380021292</v>
      </c>
    </row>
    <row r="66" spans="1:26" s="24" customFormat="1" hidden="1" outlineLevel="2" x14ac:dyDescent="0.25">
      <c r="A66" s="28"/>
      <c r="B66" s="11" t="str">
        <f>CONCATENATE("          ", "6008", " - ", "STUDENT HOURLY-FICA EXEMPT")</f>
        <v xml:space="preserve">          6008 - STUDENT HOURLY-FICA EXEMPT</v>
      </c>
      <c r="C66" s="11"/>
      <c r="D66" s="7">
        <v>1136.52</v>
      </c>
      <c r="E66" s="2"/>
      <c r="F66" s="6">
        <f t="shared" si="26"/>
        <v>6.4995993080407587E-3</v>
      </c>
      <c r="G66" s="2"/>
      <c r="H66" s="7"/>
      <c r="I66" s="2"/>
      <c r="J66" s="6">
        <f t="shared" si="27"/>
        <v>0</v>
      </c>
      <c r="K66" s="2"/>
      <c r="L66" s="7">
        <f t="shared" si="28"/>
        <v>1136.52</v>
      </c>
      <c r="M66" s="2"/>
      <c r="N66" s="6">
        <f t="shared" si="29"/>
        <v>0</v>
      </c>
      <c r="O66" s="11"/>
      <c r="P66" s="7">
        <v>2294.0700000000002</v>
      </c>
      <c r="Q66" s="2"/>
      <c r="R66" s="6">
        <f t="shared" si="30"/>
        <v>3.7390723484836889E-3</v>
      </c>
      <c r="S66" s="2"/>
      <c r="T66" s="7"/>
      <c r="U66" s="2"/>
      <c r="V66" s="6">
        <f t="shared" si="31"/>
        <v>0</v>
      </c>
      <c r="W66" s="2"/>
      <c r="X66" s="7">
        <f t="shared" si="32"/>
        <v>2294.0700000000002</v>
      </c>
      <c r="Y66" s="2"/>
      <c r="Z66" s="6">
        <f t="shared" si="33"/>
        <v>0</v>
      </c>
    </row>
    <row r="67" spans="1:26" s="27" customFormat="1" outlineLevel="1" collapsed="1" x14ac:dyDescent="0.25">
      <c r="A67" s="29"/>
      <c r="B67" s="14" t="str">
        <f>CONCATENATE("     ","Advertising/Promo                                 ")</f>
        <v xml:space="preserve">     Advertising/Promo                                 </v>
      </c>
      <c r="C67" s="14"/>
      <c r="D67" s="1">
        <f>SUM(OSRRefD22_2x_0)</f>
        <v>19.850000000000001</v>
      </c>
      <c r="E67" s="1"/>
      <c r="F67" s="5">
        <f t="shared" ref="F67:F75" si="34">IF(D$12=0,0,D67/D$12)</f>
        <v>1.1351938044610659E-4</v>
      </c>
      <c r="G67" s="1"/>
      <c r="H67" s="1">
        <f>SUM(OSRRefH22_2x_0)</f>
        <v>0</v>
      </c>
      <c r="I67" s="1"/>
      <c r="J67" s="5">
        <f t="shared" ref="J67:J75" si="35">IF(H$12=0,0,H67/H$12)</f>
        <v>0</v>
      </c>
      <c r="K67" s="1"/>
      <c r="L67" s="1">
        <f t="shared" ref="L67:L75" si="36">+D67-H67</f>
        <v>19.850000000000001</v>
      </c>
      <c r="M67" s="1"/>
      <c r="N67" s="5">
        <f t="shared" ref="N67:N75" si="37">IF(H67=0,0,L67/H67)</f>
        <v>0</v>
      </c>
      <c r="O67" s="14"/>
      <c r="P67" s="1">
        <f>SUM(OSRRefP22_2x_0)</f>
        <v>104.89</v>
      </c>
      <c r="Q67" s="1"/>
      <c r="R67" s="5">
        <f t="shared" ref="R67:R75" si="38">IF(P$12=0,0,P67/P$12)</f>
        <v>1.7095873213653206E-4</v>
      </c>
      <c r="S67" s="1"/>
      <c r="T67" s="1">
        <f>SUM(OSRRefT22_2x_0)</f>
        <v>248.88</v>
      </c>
      <c r="U67" s="1"/>
      <c r="V67" s="5">
        <f t="shared" ref="V67:V75" si="39">IF(T$12=0,0,T67/T$12)</f>
        <v>2.5836597658928945E-4</v>
      </c>
      <c r="W67" s="1"/>
      <c r="X67" s="1">
        <f t="shared" ref="X67:X75" si="40">+P67-T67</f>
        <v>-143.99</v>
      </c>
      <c r="Y67" s="1"/>
      <c r="Z67" s="5">
        <f t="shared" ref="Z67:Z75" si="41">IF(T67=0,0,X67/T67)</f>
        <v>-0.57855191256830607</v>
      </c>
    </row>
    <row r="68" spans="1:26" s="24" customFormat="1" hidden="1" outlineLevel="2" x14ac:dyDescent="0.25">
      <c r="A68" s="28"/>
      <c r="B68" s="11" t="str">
        <f>CONCATENATE("          ", "6362", " - ", "ADVERTISING EXPENSE")</f>
        <v xml:space="preserve">          6362 - ADVERTISING EXPENSE</v>
      </c>
      <c r="C68" s="11"/>
      <c r="D68" s="7">
        <v>19.850000000000001</v>
      </c>
      <c r="E68" s="2"/>
      <c r="F68" s="6">
        <f t="shared" si="34"/>
        <v>1.1351938044610659E-4</v>
      </c>
      <c r="G68" s="2"/>
      <c r="H68" s="7"/>
      <c r="I68" s="2"/>
      <c r="J68" s="6">
        <f t="shared" si="35"/>
        <v>0</v>
      </c>
      <c r="K68" s="2"/>
      <c r="L68" s="7">
        <f t="shared" si="36"/>
        <v>19.850000000000001</v>
      </c>
      <c r="M68" s="2"/>
      <c r="N68" s="6">
        <f t="shared" si="37"/>
        <v>0</v>
      </c>
      <c r="O68" s="11"/>
      <c r="P68" s="7">
        <v>104.89</v>
      </c>
      <c r="Q68" s="2"/>
      <c r="R68" s="6">
        <f t="shared" si="38"/>
        <v>1.7095873213653206E-4</v>
      </c>
      <c r="S68" s="2"/>
      <c r="T68" s="7">
        <v>248.88</v>
      </c>
      <c r="U68" s="2"/>
      <c r="V68" s="6">
        <f t="shared" si="39"/>
        <v>2.5836597658928945E-4</v>
      </c>
      <c r="W68" s="2"/>
      <c r="X68" s="7">
        <f t="shared" si="40"/>
        <v>-143.99</v>
      </c>
      <c r="Y68" s="2"/>
      <c r="Z68" s="6">
        <f t="shared" si="41"/>
        <v>-0.57855191256830607</v>
      </c>
    </row>
    <row r="69" spans="1:26" s="27" customFormat="1" outlineLevel="1" collapsed="1" x14ac:dyDescent="0.25">
      <c r="A69" s="29"/>
      <c r="B69" s="14" t="str">
        <f>CONCATENATE("     ","Depreciation                                      ")</f>
        <v xml:space="preserve">     Depreciation                                      </v>
      </c>
      <c r="C69" s="14"/>
      <c r="D69" s="1">
        <f>SUM(OSRRefD22_3x_0)</f>
        <v>280.44</v>
      </c>
      <c r="E69" s="1"/>
      <c r="F69" s="5">
        <f t="shared" si="34"/>
        <v>1.6037972318542133E-3</v>
      </c>
      <c r="G69" s="1"/>
      <c r="H69" s="1">
        <f>SUM(OSRRefH22_3x_0)</f>
        <v>280.44</v>
      </c>
      <c r="I69" s="1"/>
      <c r="J69" s="5">
        <f t="shared" si="35"/>
        <v>1.0636968723352106E-3</v>
      </c>
      <c r="K69" s="1"/>
      <c r="L69" s="1">
        <f t="shared" si="36"/>
        <v>0</v>
      </c>
      <c r="M69" s="1"/>
      <c r="N69" s="5">
        <f t="shared" si="37"/>
        <v>0</v>
      </c>
      <c r="O69" s="14"/>
      <c r="P69" s="1">
        <f>SUM(OSRRefP22_3x_0)</f>
        <v>841.32</v>
      </c>
      <c r="Q69" s="1"/>
      <c r="R69" s="5">
        <f t="shared" si="38"/>
        <v>1.3712556060740506E-3</v>
      </c>
      <c r="S69" s="1"/>
      <c r="T69" s="1">
        <f>SUM(OSRRefT22_3x_0)</f>
        <v>841.32</v>
      </c>
      <c r="U69" s="1"/>
      <c r="V69" s="5">
        <f t="shared" si="39"/>
        <v>8.7338662577989804E-4</v>
      </c>
      <c r="W69" s="1"/>
      <c r="X69" s="1">
        <f t="shared" si="40"/>
        <v>0</v>
      </c>
      <c r="Y69" s="1"/>
      <c r="Z69" s="5">
        <f t="shared" si="41"/>
        <v>0</v>
      </c>
    </row>
    <row r="70" spans="1:26" s="24" customFormat="1" hidden="1" outlineLevel="2" x14ac:dyDescent="0.25">
      <c r="A70" s="28"/>
      <c r="B70" s="11" t="str">
        <f>CONCATENATE("          ", "6322", " - ", "EQUIPMENT DEPRECIATION EXPENSE")</f>
        <v xml:space="preserve">          6322 - EQUIPMENT DEPRECIATION EXPENSE</v>
      </c>
      <c r="C70" s="11"/>
      <c r="D70" s="7">
        <v>280.44</v>
      </c>
      <c r="E70" s="2"/>
      <c r="F70" s="6">
        <f t="shared" si="34"/>
        <v>1.6037972318542133E-3</v>
      </c>
      <c r="G70" s="2"/>
      <c r="H70" s="7">
        <v>280.44</v>
      </c>
      <c r="I70" s="2"/>
      <c r="J70" s="6">
        <f t="shared" si="35"/>
        <v>1.0636968723352106E-3</v>
      </c>
      <c r="K70" s="2"/>
      <c r="L70" s="7">
        <f t="shared" si="36"/>
        <v>0</v>
      </c>
      <c r="M70" s="2"/>
      <c r="N70" s="6">
        <f t="shared" si="37"/>
        <v>0</v>
      </c>
      <c r="O70" s="11"/>
      <c r="P70" s="7">
        <v>841.32</v>
      </c>
      <c r="Q70" s="2"/>
      <c r="R70" s="6">
        <f t="shared" si="38"/>
        <v>1.3712556060740506E-3</v>
      </c>
      <c r="S70" s="2"/>
      <c r="T70" s="7">
        <v>841.32</v>
      </c>
      <c r="U70" s="2"/>
      <c r="V70" s="6">
        <f t="shared" si="39"/>
        <v>8.7338662577989804E-4</v>
      </c>
      <c r="W70" s="2"/>
      <c r="X70" s="7">
        <f t="shared" si="40"/>
        <v>0</v>
      </c>
      <c r="Y70" s="2"/>
      <c r="Z70" s="6">
        <f t="shared" si="41"/>
        <v>0</v>
      </c>
    </row>
    <row r="71" spans="1:26" s="27" customFormat="1" outlineLevel="1" collapsed="1" x14ac:dyDescent="0.25">
      <c r="A71" s="29"/>
      <c r="B71" s="14" t="str">
        <f>CONCATENATE("     ","Discounts and Markdowns                           ")</f>
        <v xml:space="preserve">     Discounts and Markdowns                           </v>
      </c>
      <c r="C71" s="14"/>
      <c r="D71" s="1">
        <f>SUM(OSRRefD22_4x_0)</f>
        <v>0</v>
      </c>
      <c r="E71" s="1"/>
      <c r="F71" s="5">
        <f t="shared" si="34"/>
        <v>0</v>
      </c>
      <c r="G71" s="1"/>
      <c r="H71" s="1">
        <f>SUM(OSRRefH22_4x_0)</f>
        <v>0</v>
      </c>
      <c r="I71" s="1"/>
      <c r="J71" s="5">
        <f t="shared" si="35"/>
        <v>0</v>
      </c>
      <c r="K71" s="1"/>
      <c r="L71" s="1">
        <f t="shared" si="36"/>
        <v>0</v>
      </c>
      <c r="M71" s="1"/>
      <c r="N71" s="5">
        <f t="shared" si="37"/>
        <v>0</v>
      </c>
      <c r="O71" s="14"/>
      <c r="P71" s="1">
        <f>SUM(OSRRefP22_4x_0)</f>
        <v>0</v>
      </c>
      <c r="Q71" s="1"/>
      <c r="R71" s="5">
        <f t="shared" si="38"/>
        <v>0</v>
      </c>
      <c r="S71" s="1"/>
      <c r="T71" s="1">
        <f>SUM(OSRRefT22_4x_0)</f>
        <v>0</v>
      </c>
      <c r="U71" s="1"/>
      <c r="V71" s="5">
        <f t="shared" si="39"/>
        <v>0</v>
      </c>
      <c r="W71" s="1"/>
      <c r="X71" s="1">
        <f t="shared" si="40"/>
        <v>0</v>
      </c>
      <c r="Y71" s="1"/>
      <c r="Z71" s="5">
        <f t="shared" si="41"/>
        <v>0</v>
      </c>
    </row>
    <row r="72" spans="1:26" s="24" customFormat="1" hidden="1" outlineLevel="2" x14ac:dyDescent="0.25">
      <c r="A72" s="28"/>
      <c r="B72" s="11" t="str">
        <f>CONCATENATE("          ", "6382", " - ", "DISCOUNTS/MARK DOWNS")</f>
        <v xml:space="preserve">          6382 - DISCOUNTS/MARK DOWNS</v>
      </c>
      <c r="C72" s="11"/>
      <c r="D72" s="7"/>
      <c r="E72" s="2"/>
      <c r="F72" s="6">
        <f t="shared" si="34"/>
        <v>0</v>
      </c>
      <c r="G72" s="2"/>
      <c r="H72" s="7">
        <v>0</v>
      </c>
      <c r="I72" s="2"/>
      <c r="J72" s="6">
        <f t="shared" si="35"/>
        <v>0</v>
      </c>
      <c r="K72" s="2"/>
      <c r="L72" s="7">
        <f t="shared" si="36"/>
        <v>0</v>
      </c>
      <c r="M72" s="2"/>
      <c r="N72" s="6">
        <f t="shared" si="37"/>
        <v>0</v>
      </c>
      <c r="O72" s="11"/>
      <c r="P72" s="7"/>
      <c r="Q72" s="2"/>
      <c r="R72" s="6">
        <f t="shared" si="38"/>
        <v>0</v>
      </c>
      <c r="S72" s="2"/>
      <c r="T72" s="7">
        <v>0</v>
      </c>
      <c r="U72" s="2"/>
      <c r="V72" s="6">
        <f t="shared" si="39"/>
        <v>0</v>
      </c>
      <c r="W72" s="2"/>
      <c r="X72" s="7">
        <f t="shared" si="40"/>
        <v>0</v>
      </c>
      <c r="Y72" s="2"/>
      <c r="Z72" s="6">
        <f t="shared" si="41"/>
        <v>0</v>
      </c>
    </row>
    <row r="73" spans="1:26" s="27" customFormat="1" outlineLevel="1" collapsed="1" x14ac:dyDescent="0.25">
      <c r="A73" s="29"/>
      <c r="B73" s="14" t="str">
        <f>CONCATENATE("     ","Freight out/Postage                               ")</f>
        <v xml:space="preserve">     Freight out/Postage                               </v>
      </c>
      <c r="C73" s="14"/>
      <c r="D73" s="1">
        <f>SUM(OSRRefD22_5x_0)</f>
        <v>23.18</v>
      </c>
      <c r="E73" s="1"/>
      <c r="F73" s="5">
        <f t="shared" si="34"/>
        <v>1.3256318583076829E-4</v>
      </c>
      <c r="G73" s="1"/>
      <c r="H73" s="1">
        <f>SUM(OSRRefH22_5x_0)</f>
        <v>87.509999999999991</v>
      </c>
      <c r="I73" s="1"/>
      <c r="J73" s="5">
        <f t="shared" si="35"/>
        <v>3.319216705821362E-4</v>
      </c>
      <c r="K73" s="1"/>
      <c r="L73" s="1">
        <f t="shared" si="36"/>
        <v>-64.329999999999984</v>
      </c>
      <c r="M73" s="1"/>
      <c r="N73" s="5">
        <f t="shared" si="37"/>
        <v>-0.73511598674437195</v>
      </c>
      <c r="O73" s="14"/>
      <c r="P73" s="1">
        <f>SUM(OSRRefP22_5x_0)</f>
        <v>116.37</v>
      </c>
      <c r="Q73" s="1"/>
      <c r="R73" s="5">
        <f t="shared" si="38"/>
        <v>1.8966982227789337E-4</v>
      </c>
      <c r="S73" s="1"/>
      <c r="T73" s="1">
        <f>SUM(OSRRefT22_5x_0)</f>
        <v>277.26000000000005</v>
      </c>
      <c r="U73" s="1"/>
      <c r="V73" s="5">
        <f t="shared" si="39"/>
        <v>2.878276706410576E-4</v>
      </c>
      <c r="W73" s="1"/>
      <c r="X73" s="1">
        <f t="shared" si="40"/>
        <v>-160.89000000000004</v>
      </c>
      <c r="Y73" s="1"/>
      <c r="Z73" s="5">
        <f t="shared" si="41"/>
        <v>-0.58028565245617836</v>
      </c>
    </row>
    <row r="74" spans="1:26" s="24" customFormat="1" hidden="1" outlineLevel="2" x14ac:dyDescent="0.25">
      <c r="A74" s="28"/>
      <c r="B74" s="11" t="str">
        <f>CONCATENATE("          ", "6305", " - ", "FREIGHT OUT")</f>
        <v xml:space="preserve">          6305 - FREIGHT OUT</v>
      </c>
      <c r="C74" s="11"/>
      <c r="D74" s="7">
        <v>23.18</v>
      </c>
      <c r="E74" s="2"/>
      <c r="F74" s="6">
        <f t="shared" si="34"/>
        <v>1.3256318583076829E-4</v>
      </c>
      <c r="G74" s="2"/>
      <c r="H74" s="7">
        <v>83.71</v>
      </c>
      <c r="I74" s="2"/>
      <c r="J74" s="6">
        <f t="shared" si="35"/>
        <v>3.1750843382962661E-4</v>
      </c>
      <c r="K74" s="2"/>
      <c r="L74" s="7">
        <f t="shared" si="36"/>
        <v>-60.529999999999994</v>
      </c>
      <c r="M74" s="2"/>
      <c r="N74" s="6">
        <f t="shared" si="37"/>
        <v>-0.72309162585115272</v>
      </c>
      <c r="O74" s="11"/>
      <c r="P74" s="7">
        <v>116.37</v>
      </c>
      <c r="Q74" s="2"/>
      <c r="R74" s="6">
        <f t="shared" si="38"/>
        <v>1.8966982227789337E-4</v>
      </c>
      <c r="S74" s="2"/>
      <c r="T74" s="7">
        <v>264.66000000000003</v>
      </c>
      <c r="U74" s="2"/>
      <c r="V74" s="6">
        <f t="shared" si="39"/>
        <v>2.7474742592462775E-4</v>
      </c>
      <c r="W74" s="2"/>
      <c r="X74" s="7">
        <f t="shared" si="40"/>
        <v>-148.29000000000002</v>
      </c>
      <c r="Y74" s="2"/>
      <c r="Z74" s="6">
        <f t="shared" si="41"/>
        <v>-0.56030378598957153</v>
      </c>
    </row>
    <row r="75" spans="1:26" s="24" customFormat="1" hidden="1" outlineLevel="2" x14ac:dyDescent="0.25">
      <c r="A75" s="28"/>
      <c r="B75" s="11" t="str">
        <f>CONCATENATE("          ", "6307", " - ", "POSTAGE")</f>
        <v xml:space="preserve">          6307 - POSTAGE</v>
      </c>
      <c r="C75" s="11"/>
      <c r="D75" s="7"/>
      <c r="E75" s="2"/>
      <c r="F75" s="6">
        <f t="shared" si="34"/>
        <v>0</v>
      </c>
      <c r="G75" s="2"/>
      <c r="H75" s="7">
        <v>3.8</v>
      </c>
      <c r="I75" s="2"/>
      <c r="J75" s="6">
        <f t="shared" si="35"/>
        <v>1.441323675250963E-5</v>
      </c>
      <c r="K75" s="2"/>
      <c r="L75" s="7">
        <f t="shared" si="36"/>
        <v>-3.8</v>
      </c>
      <c r="M75" s="2"/>
      <c r="N75" s="6">
        <f t="shared" si="37"/>
        <v>-1</v>
      </c>
      <c r="O75" s="11"/>
      <c r="P75" s="7"/>
      <c r="Q75" s="2"/>
      <c r="R75" s="6">
        <f t="shared" si="38"/>
        <v>0</v>
      </c>
      <c r="S75" s="2"/>
      <c r="T75" s="7">
        <v>12.6</v>
      </c>
      <c r="U75" s="2"/>
      <c r="V75" s="6">
        <f t="shared" si="39"/>
        <v>1.3080244716429795E-5</v>
      </c>
      <c r="W75" s="2"/>
      <c r="X75" s="7">
        <f t="shared" si="40"/>
        <v>-12.6</v>
      </c>
      <c r="Y75" s="2"/>
      <c r="Z75" s="6">
        <f t="shared" si="41"/>
        <v>-1</v>
      </c>
    </row>
    <row r="76" spans="1:26" s="27" customFormat="1" outlineLevel="1" collapsed="1" x14ac:dyDescent="0.25">
      <c r="A76" s="29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SUM(OSRRefD22_6x_0)</f>
        <v>0</v>
      </c>
      <c r="E76" s="1"/>
      <c r="F76" s="5">
        <f t="shared" ref="F76:F83" si="42">IF(D$12=0,0,D76/D$12)</f>
        <v>0</v>
      </c>
      <c r="G76" s="1"/>
      <c r="H76" s="1">
        <f>SUM(OSRRefH22_6x_0)</f>
        <v>0</v>
      </c>
      <c r="I76" s="1"/>
      <c r="J76" s="5">
        <f t="shared" ref="J76:J83" si="43">IF(H$12=0,0,H76/H$12)</f>
        <v>0</v>
      </c>
      <c r="K76" s="1"/>
      <c r="L76" s="1">
        <f t="shared" ref="L76:L83" si="44">+D76-H76</f>
        <v>0</v>
      </c>
      <c r="M76" s="1"/>
      <c r="N76" s="5">
        <f t="shared" ref="N76:N83" si="45">IF(H76=0,0,L76/H76)</f>
        <v>0</v>
      </c>
      <c r="O76" s="14"/>
      <c r="P76" s="1">
        <f>SUM(OSRRefP22_6x_0)</f>
        <v>0</v>
      </c>
      <c r="Q76" s="1"/>
      <c r="R76" s="5">
        <f t="shared" ref="R76:R83" si="46">IF(P$12=0,0,P76/P$12)</f>
        <v>0</v>
      </c>
      <c r="S76" s="1"/>
      <c r="T76" s="1">
        <f>SUM(OSRRefT22_6x_0)</f>
        <v>-30.15</v>
      </c>
      <c r="U76" s="1"/>
      <c r="V76" s="5">
        <f t="shared" ref="V76:V83" si="47">IF(T$12=0,0,T76/T$12)</f>
        <v>-3.1299157000028436E-5</v>
      </c>
      <c r="W76" s="1"/>
      <c r="X76" s="1">
        <f t="shared" ref="X76:X83" si="48">+P76-T76</f>
        <v>30.15</v>
      </c>
      <c r="Y76" s="1"/>
      <c r="Z76" s="5">
        <f t="shared" ref="Z76:Z83" si="49">IF(T76=0,0,X76/T76)</f>
        <v>-1</v>
      </c>
    </row>
    <row r="77" spans="1:26" s="24" customFormat="1" hidden="1" outlineLevel="2" x14ac:dyDescent="0.25">
      <c r="A77" s="28"/>
      <c r="B77" s="11" t="str">
        <f>CONCATENATE("          ", "6279", " - ", "GENERAL EXPENSE")</f>
        <v xml:space="preserve">          6279 - GENERAL EXPENSE</v>
      </c>
      <c r="C77" s="11"/>
      <c r="D77" s="7"/>
      <c r="E77" s="2"/>
      <c r="F77" s="6">
        <f t="shared" si="42"/>
        <v>0</v>
      </c>
      <c r="G77" s="2"/>
      <c r="H77" s="7"/>
      <c r="I77" s="2"/>
      <c r="J77" s="6">
        <f t="shared" si="43"/>
        <v>0</v>
      </c>
      <c r="K77" s="2"/>
      <c r="L77" s="7">
        <f t="shared" si="44"/>
        <v>0</v>
      </c>
      <c r="M77" s="2"/>
      <c r="N77" s="6">
        <f t="shared" si="45"/>
        <v>0</v>
      </c>
      <c r="O77" s="11"/>
      <c r="P77" s="7"/>
      <c r="Q77" s="2"/>
      <c r="R77" s="6">
        <f t="shared" si="46"/>
        <v>0</v>
      </c>
      <c r="S77" s="2"/>
      <c r="T77" s="7">
        <v>-30.15</v>
      </c>
      <c r="U77" s="2"/>
      <c r="V77" s="6">
        <f t="shared" si="47"/>
        <v>-3.1299157000028436E-5</v>
      </c>
      <c r="W77" s="2"/>
      <c r="X77" s="7">
        <f t="shared" si="48"/>
        <v>30.15</v>
      </c>
      <c r="Y77" s="2"/>
      <c r="Z77" s="6">
        <f t="shared" si="49"/>
        <v>-1</v>
      </c>
    </row>
    <row r="78" spans="1:26" s="27" customFormat="1" outlineLevel="1" collapsed="1" x14ac:dyDescent="0.25">
      <c r="A78" s="29"/>
      <c r="B78" s="14" t="str">
        <f>CONCATENATE("     ","Inventory Adjustment                              ")</f>
        <v xml:space="preserve">     Inventory Adjustment                              </v>
      </c>
      <c r="C78" s="14"/>
      <c r="D78" s="1">
        <f>SUM(OSRRefD22_7x_0)</f>
        <v>590</v>
      </c>
      <c r="E78" s="1"/>
      <c r="F78" s="5">
        <f t="shared" si="42"/>
        <v>3.3741276807658883E-3</v>
      </c>
      <c r="G78" s="1"/>
      <c r="H78" s="1">
        <f>SUM(OSRRefH22_7x_0)</f>
        <v>1250</v>
      </c>
      <c r="I78" s="1"/>
      <c r="J78" s="5">
        <f t="shared" si="43"/>
        <v>4.7411963001676412E-3</v>
      </c>
      <c r="K78" s="1"/>
      <c r="L78" s="1">
        <f t="shared" si="44"/>
        <v>-660</v>
      </c>
      <c r="M78" s="1"/>
      <c r="N78" s="5">
        <f t="shared" si="45"/>
        <v>-0.52800000000000002</v>
      </c>
      <c r="O78" s="14"/>
      <c r="P78" s="1">
        <f>SUM(OSRRefP22_7x_0)</f>
        <v>4080</v>
      </c>
      <c r="Q78" s="1"/>
      <c r="R78" s="5">
        <f t="shared" si="46"/>
        <v>6.649934475327017E-3</v>
      </c>
      <c r="S78" s="1"/>
      <c r="T78" s="1">
        <f>SUM(OSRRefT22_7x_0)</f>
        <v>3750</v>
      </c>
      <c r="U78" s="1"/>
      <c r="V78" s="5">
        <f t="shared" si="47"/>
        <v>3.8929299751279153E-3</v>
      </c>
      <c r="W78" s="1"/>
      <c r="X78" s="1">
        <f t="shared" si="48"/>
        <v>330</v>
      </c>
      <c r="Y78" s="1"/>
      <c r="Z78" s="5">
        <f t="shared" si="49"/>
        <v>8.7999999999999995E-2</v>
      </c>
    </row>
    <row r="79" spans="1:26" s="24" customFormat="1" hidden="1" outlineLevel="2" x14ac:dyDescent="0.25">
      <c r="A79" s="28"/>
      <c r="B79" s="11" t="str">
        <f>CONCATENATE("          ", "6408", " - ", "INVENTORY ADJUSTMENT")</f>
        <v xml:space="preserve">          6408 - INVENTORY ADJUSTMENT</v>
      </c>
      <c r="C79" s="11"/>
      <c r="D79" s="7">
        <v>590</v>
      </c>
      <c r="E79" s="2"/>
      <c r="F79" s="6">
        <f t="shared" si="42"/>
        <v>3.3741276807658883E-3</v>
      </c>
      <c r="G79" s="2"/>
      <c r="H79" s="7">
        <v>1250</v>
      </c>
      <c r="I79" s="2"/>
      <c r="J79" s="6">
        <f t="shared" si="43"/>
        <v>4.7411963001676412E-3</v>
      </c>
      <c r="K79" s="2"/>
      <c r="L79" s="7">
        <f t="shared" si="44"/>
        <v>-660</v>
      </c>
      <c r="M79" s="2"/>
      <c r="N79" s="6">
        <f t="shared" si="45"/>
        <v>-0.52800000000000002</v>
      </c>
      <c r="O79" s="11"/>
      <c r="P79" s="7">
        <v>4080</v>
      </c>
      <c r="Q79" s="2"/>
      <c r="R79" s="6">
        <f t="shared" si="46"/>
        <v>6.649934475327017E-3</v>
      </c>
      <c r="S79" s="2"/>
      <c r="T79" s="7">
        <v>3750</v>
      </c>
      <c r="U79" s="2"/>
      <c r="V79" s="6">
        <f t="shared" si="47"/>
        <v>3.8929299751279153E-3</v>
      </c>
      <c r="W79" s="2"/>
      <c r="X79" s="7">
        <f t="shared" si="48"/>
        <v>330</v>
      </c>
      <c r="Y79" s="2"/>
      <c r="Z79" s="6">
        <f t="shared" si="49"/>
        <v>8.7999999999999995E-2</v>
      </c>
    </row>
    <row r="80" spans="1:26" s="27" customFormat="1" outlineLevel="1" collapsed="1" x14ac:dyDescent="0.25">
      <c r="A80" s="29"/>
      <c r="B80" s="14" t="str">
        <f>CONCATENATE("     ","Supplies                                          ")</f>
        <v xml:space="preserve">     Supplies                                          </v>
      </c>
      <c r="C80" s="14"/>
      <c r="D80" s="1">
        <f>SUM(OSRRefD22_8x_0)</f>
        <v>-150.09</v>
      </c>
      <c r="E80" s="1"/>
      <c r="F80" s="5">
        <f t="shared" si="42"/>
        <v>-8.5834376882398681E-4</v>
      </c>
      <c r="G80" s="1"/>
      <c r="H80" s="1">
        <f>SUM(OSRRefH22_8x_0)</f>
        <v>39.36</v>
      </c>
      <c r="I80" s="1"/>
      <c r="J80" s="5">
        <f t="shared" si="43"/>
        <v>1.492907890996787E-4</v>
      </c>
      <c r="K80" s="1"/>
      <c r="L80" s="1">
        <f t="shared" si="44"/>
        <v>-189.45</v>
      </c>
      <c r="M80" s="1"/>
      <c r="N80" s="5">
        <f t="shared" si="45"/>
        <v>-4.8132621951219514</v>
      </c>
      <c r="O80" s="14"/>
      <c r="P80" s="1">
        <f>SUM(OSRRefP22_8x_0)</f>
        <v>3059.19</v>
      </c>
      <c r="Q80" s="1"/>
      <c r="R80" s="5">
        <f t="shared" si="46"/>
        <v>4.9861306489156019E-3</v>
      </c>
      <c r="S80" s="1"/>
      <c r="T80" s="1">
        <f>SUM(OSRRefT22_8x_0)</f>
        <v>1494.9099999999999</v>
      </c>
      <c r="U80" s="1"/>
      <c r="V80" s="5">
        <f t="shared" si="47"/>
        <v>1.5518879864315923E-3</v>
      </c>
      <c r="W80" s="1"/>
      <c r="X80" s="1">
        <f t="shared" si="48"/>
        <v>1564.2800000000002</v>
      </c>
      <c r="Y80" s="1"/>
      <c r="Z80" s="5">
        <f t="shared" si="49"/>
        <v>1.0464041313523893</v>
      </c>
    </row>
    <row r="81" spans="1:26" s="24" customFormat="1" hidden="1" outlineLevel="2" x14ac:dyDescent="0.25">
      <c r="A81" s="28"/>
      <c r="B81" s="11" t="str">
        <f>CONCATENATE("          ", "6235", " - ", "COVID-19 EXPENSES")</f>
        <v xml:space="preserve">          6235 - COVID-19 EXPENSES</v>
      </c>
      <c r="C81" s="11"/>
      <c r="D81" s="7"/>
      <c r="E81" s="2"/>
      <c r="F81" s="6">
        <f t="shared" si="42"/>
        <v>0</v>
      </c>
      <c r="G81" s="2"/>
      <c r="H81" s="7"/>
      <c r="I81" s="2"/>
      <c r="J81" s="6">
        <f t="shared" si="43"/>
        <v>0</v>
      </c>
      <c r="K81" s="2"/>
      <c r="L81" s="7">
        <f t="shared" si="44"/>
        <v>0</v>
      </c>
      <c r="M81" s="2"/>
      <c r="N81" s="6">
        <f t="shared" si="45"/>
        <v>0</v>
      </c>
      <c r="O81" s="11"/>
      <c r="P81" s="7"/>
      <c r="Q81" s="2"/>
      <c r="R81" s="6">
        <f t="shared" si="46"/>
        <v>0</v>
      </c>
      <c r="S81" s="2"/>
      <c r="T81" s="7">
        <v>668.12</v>
      </c>
      <c r="U81" s="2"/>
      <c r="V81" s="6">
        <f t="shared" si="47"/>
        <v>6.9358516666199002E-4</v>
      </c>
      <c r="W81" s="2"/>
      <c r="X81" s="7">
        <f t="shared" si="48"/>
        <v>-668.12</v>
      </c>
      <c r="Y81" s="2"/>
      <c r="Z81" s="6">
        <f t="shared" si="49"/>
        <v>-1</v>
      </c>
    </row>
    <row r="82" spans="1:26" s="24" customFormat="1" hidden="1" outlineLevel="2" x14ac:dyDescent="0.25">
      <c r="A82" s="28"/>
      <c r="B82" s="11" t="str">
        <f>CONCATENATE("          ", "6241", " - ", "OFFICE EXPENSE")</f>
        <v xml:space="preserve">          6241 - OFFICE EXPENSE</v>
      </c>
      <c r="C82" s="11"/>
      <c r="D82" s="7">
        <v>-150.09</v>
      </c>
      <c r="E82" s="2"/>
      <c r="F82" s="6">
        <f t="shared" si="42"/>
        <v>-8.5834376882398681E-4</v>
      </c>
      <c r="G82" s="2"/>
      <c r="H82" s="7">
        <v>39.36</v>
      </c>
      <c r="I82" s="2"/>
      <c r="J82" s="6">
        <f t="shared" si="43"/>
        <v>1.492907890996787E-4</v>
      </c>
      <c r="K82" s="2"/>
      <c r="L82" s="7">
        <f t="shared" si="44"/>
        <v>-189.45</v>
      </c>
      <c r="M82" s="2"/>
      <c r="N82" s="6">
        <f t="shared" si="45"/>
        <v>-4.8132621951219514</v>
      </c>
      <c r="O82" s="11"/>
      <c r="P82" s="7">
        <v>147.19</v>
      </c>
      <c r="Q82" s="2"/>
      <c r="R82" s="6">
        <f t="shared" si="46"/>
        <v>2.3990290574102537E-4</v>
      </c>
      <c r="S82" s="2"/>
      <c r="T82" s="7">
        <v>826.79</v>
      </c>
      <c r="U82" s="2"/>
      <c r="V82" s="6">
        <f t="shared" si="47"/>
        <v>8.5830281976960238E-4</v>
      </c>
      <c r="W82" s="2"/>
      <c r="X82" s="7">
        <f t="shared" si="48"/>
        <v>-679.59999999999991</v>
      </c>
      <c r="Y82" s="2"/>
      <c r="Z82" s="6">
        <f t="shared" si="49"/>
        <v>-0.82197414095477683</v>
      </c>
    </row>
    <row r="83" spans="1:26" s="24" customFormat="1" hidden="1" outlineLevel="2" x14ac:dyDescent="0.25">
      <c r="A83" s="28"/>
      <c r="B83" s="11" t="str">
        <f>CONCATENATE("          ", "6247", " - ", "STORE SUPPLIES")</f>
        <v xml:space="preserve">          6247 - STORE SUPPLIES</v>
      </c>
      <c r="C83" s="11"/>
      <c r="D83" s="7"/>
      <c r="E83" s="2"/>
      <c r="F83" s="6">
        <f t="shared" si="42"/>
        <v>0</v>
      </c>
      <c r="G83" s="2"/>
      <c r="H83" s="7"/>
      <c r="I83" s="2"/>
      <c r="J83" s="6">
        <f t="shared" si="43"/>
        <v>0</v>
      </c>
      <c r="K83" s="2"/>
      <c r="L83" s="7">
        <f t="shared" si="44"/>
        <v>0</v>
      </c>
      <c r="M83" s="2"/>
      <c r="N83" s="6">
        <f t="shared" si="45"/>
        <v>0</v>
      </c>
      <c r="O83" s="11"/>
      <c r="P83" s="7">
        <v>2912</v>
      </c>
      <c r="Q83" s="2"/>
      <c r="R83" s="6">
        <f t="shared" si="46"/>
        <v>4.746227743174577E-3</v>
      </c>
      <c r="S83" s="2"/>
      <c r="T83" s="7"/>
      <c r="U83" s="2"/>
      <c r="V83" s="6">
        <f t="shared" si="47"/>
        <v>0</v>
      </c>
      <c r="W83" s="2"/>
      <c r="X83" s="7">
        <f t="shared" si="48"/>
        <v>2912</v>
      </c>
      <c r="Y83" s="2"/>
      <c r="Z83" s="6">
        <f t="shared" si="49"/>
        <v>0</v>
      </c>
    </row>
    <row r="84" spans="1:26" s="27" customFormat="1" outlineLevel="1" collapsed="1" x14ac:dyDescent="0.25">
      <c r="A84" s="29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SUM(OSRRefD22_9x_0)</f>
        <v>194.95</v>
      </c>
      <c r="E84" s="1"/>
      <c r="F84" s="5">
        <f t="shared" ref="F84:F85" si="50">IF(D$12=0,0,D84/D$12)</f>
        <v>1.1148918497717118E-3</v>
      </c>
      <c r="G84" s="1"/>
      <c r="H84" s="1">
        <f>SUM(OSRRefH22_9x_0)</f>
        <v>300</v>
      </c>
      <c r="I84" s="1"/>
      <c r="J84" s="5">
        <f t="shared" ref="J84:J85" si="51">IF(H$12=0,0,H84/H$12)</f>
        <v>1.137887112040234E-3</v>
      </c>
      <c r="K84" s="1"/>
      <c r="L84" s="1">
        <f t="shared" ref="L84:L85" si="52">+D84-H84</f>
        <v>-105.05000000000001</v>
      </c>
      <c r="M84" s="1"/>
      <c r="N84" s="5">
        <f t="shared" ref="N84:N85" si="53">IF(H84=0,0,L84/H84)</f>
        <v>-0.35016666666666668</v>
      </c>
      <c r="O84" s="14"/>
      <c r="P84" s="1">
        <f>SUM(OSRRefP22_9x_0)</f>
        <v>646.45000000000005</v>
      </c>
      <c r="Q84" s="1"/>
      <c r="R84" s="5">
        <f t="shared" ref="R84:R85" si="54">IF(P$12=0,0,P84/P$12)</f>
        <v>1.0536397405821447E-3</v>
      </c>
      <c r="S84" s="1"/>
      <c r="T84" s="1">
        <f>SUM(OSRRefT22_9x_0)</f>
        <v>911.55</v>
      </c>
      <c r="U84" s="1"/>
      <c r="V84" s="5">
        <f t="shared" ref="V84:V85" si="55">IF(T$12=0,0,T84/T$12)</f>
        <v>9.4629341835409362E-4</v>
      </c>
      <c r="W84" s="1"/>
      <c r="X84" s="1">
        <f t="shared" ref="X84:X85" si="56">+P84-T84</f>
        <v>-265.09999999999991</v>
      </c>
      <c r="Y84" s="1"/>
      <c r="Z84" s="5">
        <f t="shared" ref="Z84:Z85" si="57">IF(T84=0,0,X84/T84)</f>
        <v>-0.29082332291152424</v>
      </c>
    </row>
    <row r="85" spans="1:26" s="24" customFormat="1" hidden="1" outlineLevel="2" x14ac:dyDescent="0.25">
      <c r="A85" s="28"/>
      <c r="B85" s="11" t="str">
        <f>CONCATENATE("          ", "6309", " - ", "TELEPHONE")</f>
        <v xml:space="preserve">          6309 - TELEPHONE</v>
      </c>
      <c r="C85" s="11"/>
      <c r="D85" s="7">
        <v>194.95</v>
      </c>
      <c r="E85" s="2"/>
      <c r="F85" s="6">
        <f t="shared" si="50"/>
        <v>1.1148918497717118E-3</v>
      </c>
      <c r="G85" s="2"/>
      <c r="H85" s="7">
        <v>300</v>
      </c>
      <c r="I85" s="2"/>
      <c r="J85" s="6">
        <f t="shared" si="51"/>
        <v>1.137887112040234E-3</v>
      </c>
      <c r="K85" s="2"/>
      <c r="L85" s="7">
        <f t="shared" si="52"/>
        <v>-105.05000000000001</v>
      </c>
      <c r="M85" s="2"/>
      <c r="N85" s="6">
        <f t="shared" si="53"/>
        <v>-0.35016666666666668</v>
      </c>
      <c r="O85" s="11"/>
      <c r="P85" s="7">
        <v>646.45000000000005</v>
      </c>
      <c r="Q85" s="2"/>
      <c r="R85" s="6">
        <f t="shared" si="54"/>
        <v>1.0536397405821447E-3</v>
      </c>
      <c r="S85" s="2"/>
      <c r="T85" s="7">
        <v>911.55</v>
      </c>
      <c r="U85" s="2"/>
      <c r="V85" s="6">
        <f t="shared" si="55"/>
        <v>9.4629341835409362E-4</v>
      </c>
      <c r="W85" s="2"/>
      <c r="X85" s="7">
        <f t="shared" si="56"/>
        <v>-265.09999999999991</v>
      </c>
      <c r="Y85" s="2"/>
      <c r="Z85" s="6">
        <f t="shared" si="57"/>
        <v>-0.29082332291152424</v>
      </c>
    </row>
    <row r="86" spans="1:26" s="54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6" t="s">
        <v>292</v>
      </c>
      <c r="C87" s="10"/>
      <c r="D87" s="4">
        <f>SUM(OSRRefD25x_0)</f>
        <v>390.11</v>
      </c>
      <c r="E87" s="4"/>
      <c r="F87" s="12">
        <f t="shared" ref="F87:F90" si="58">IF(D$12=0,0,D87/D$12)</f>
        <v>2.2309846602433575E-3</v>
      </c>
      <c r="G87" s="4"/>
      <c r="H87" s="4">
        <f>SUM(OSRRefH25x_0)</f>
        <v>281.44</v>
      </c>
      <c r="I87" s="4"/>
      <c r="J87" s="12">
        <f t="shared" ref="J87:J90" si="59">IF(H$12=0,0,H87/H$12)</f>
        <v>1.0674898293753449E-3</v>
      </c>
      <c r="K87" s="4"/>
      <c r="L87" s="4">
        <f t="shared" ref="L87:L90" si="60">+D87-H87</f>
        <v>108.67000000000002</v>
      </c>
      <c r="M87" s="4"/>
      <c r="N87" s="12">
        <f t="shared" ref="N87:N90" si="61">IF(H87=0,0,L87/H87)</f>
        <v>0.3861213757816942</v>
      </c>
      <c r="O87" s="10"/>
      <c r="P87" s="4">
        <f>SUM(OSRRefP25x_0)</f>
        <v>2771.44</v>
      </c>
      <c r="Q87" s="4"/>
      <c r="R87" s="12">
        <f t="shared" ref="R87:R90" si="62">IF(P$12=0,0,P87/P$12)</f>
        <v>4.5171309809559574E-3</v>
      </c>
      <c r="S87" s="4"/>
      <c r="T87" s="4">
        <f>SUM(OSRRefT25x_0)</f>
        <v>-232.72000000000003</v>
      </c>
      <c r="U87" s="4"/>
      <c r="V87" s="12">
        <f t="shared" ref="V87:V90" si="63">IF(T$12=0,0,T87/T$12)</f>
        <v>-2.4159004368313827E-4</v>
      </c>
      <c r="W87" s="4"/>
      <c r="X87" s="4">
        <f t="shared" ref="X87:X90" si="64">+P87-T87</f>
        <v>3004.16</v>
      </c>
      <c r="Y87" s="4"/>
      <c r="Z87" s="12">
        <f t="shared" ref="Z87:Z90" si="65">IF(T87=0,0,X87/T87)</f>
        <v>-12.908903403231349</v>
      </c>
    </row>
    <row r="88" spans="1:26" s="24" customFormat="1" hidden="1" outlineLevel="1" x14ac:dyDescent="0.25">
      <c r="A88" s="44"/>
      <c r="B88" s="11" t="str">
        <f>CONCATENATE("          ", "4187", " - ", "NON-TAXABLE SALES-COMPUTER REP")</f>
        <v xml:space="preserve">          4187 - NON-TAXABLE SALES-COMPUTER REP</v>
      </c>
      <c r="C88" s="11"/>
      <c r="D88" s="2">
        <f>0</f>
        <v>0</v>
      </c>
      <c r="E88" s="2"/>
      <c r="F88" s="19">
        <f t="shared" si="58"/>
        <v>0</v>
      </c>
      <c r="G88" s="2"/>
      <c r="H88" s="2">
        <f>--125.14</f>
        <v>125.14</v>
      </c>
      <c r="I88" s="2"/>
      <c r="J88" s="19">
        <f t="shared" si="59"/>
        <v>4.7465064400238291E-4</v>
      </c>
      <c r="K88" s="2"/>
      <c r="L88" s="2">
        <f t="shared" si="60"/>
        <v>-125.14</v>
      </c>
      <c r="M88" s="2"/>
      <c r="N88" s="19">
        <f t="shared" si="61"/>
        <v>-1</v>
      </c>
      <c r="O88" s="11"/>
      <c r="P88" s="2">
        <f>0</f>
        <v>0</v>
      </c>
      <c r="Q88" s="2"/>
      <c r="R88" s="19">
        <f t="shared" si="62"/>
        <v>0</v>
      </c>
      <c r="S88" s="2"/>
      <c r="T88" s="2">
        <f>--145.13</f>
        <v>145.13</v>
      </c>
      <c r="U88" s="2"/>
      <c r="V88" s="19">
        <f t="shared" si="63"/>
        <v>1.5066158061075049E-4</v>
      </c>
      <c r="W88" s="2"/>
      <c r="X88" s="2">
        <f t="shared" si="64"/>
        <v>-145.13</v>
      </c>
      <c r="Y88" s="2"/>
      <c r="Z88" s="19">
        <f t="shared" si="65"/>
        <v>-1</v>
      </c>
    </row>
    <row r="89" spans="1:26" s="24" customFormat="1" hidden="1" outlineLevel="1" x14ac:dyDescent="0.25">
      <c r="A89" s="44"/>
      <c r="B89" s="11" t="str">
        <f>CONCATENATE("          ", "9087", " - ", "")</f>
        <v xml:space="preserve">          9087 - </v>
      </c>
      <c r="C89" s="11"/>
      <c r="D89" s="2">
        <f>-656.36</f>
        <v>-656.36</v>
      </c>
      <c r="E89" s="2"/>
      <c r="F89" s="19">
        <f t="shared" si="58"/>
        <v>-3.7536312619449127E-3</v>
      </c>
      <c r="G89" s="2"/>
      <c r="H89" s="2">
        <f>0</f>
        <v>0</v>
      </c>
      <c r="I89" s="2"/>
      <c r="J89" s="19">
        <f t="shared" si="59"/>
        <v>0</v>
      </c>
      <c r="K89" s="2"/>
      <c r="L89" s="2">
        <f t="shared" si="60"/>
        <v>-656.36</v>
      </c>
      <c r="M89" s="2"/>
      <c r="N89" s="19">
        <f t="shared" si="61"/>
        <v>0</v>
      </c>
      <c r="O89" s="11"/>
      <c r="P89" s="2">
        <f>--363.65</f>
        <v>363.65</v>
      </c>
      <c r="Q89" s="2"/>
      <c r="R89" s="19">
        <f t="shared" si="62"/>
        <v>5.9270800783153658E-4</v>
      </c>
      <c r="S89" s="2"/>
      <c r="T89" s="2">
        <f>0</f>
        <v>0</v>
      </c>
      <c r="U89" s="2"/>
      <c r="V89" s="19">
        <f t="shared" si="63"/>
        <v>0</v>
      </c>
      <c r="W89" s="2"/>
      <c r="X89" s="2">
        <f t="shared" si="64"/>
        <v>363.65</v>
      </c>
      <c r="Y89" s="2"/>
      <c r="Z89" s="19">
        <f t="shared" si="65"/>
        <v>0</v>
      </c>
    </row>
    <row r="90" spans="1:26" s="24" customFormat="1" hidden="1" outlineLevel="1" x14ac:dyDescent="0.25">
      <c r="A90" s="44"/>
      <c r="B90" s="11" t="str">
        <f>CONCATENATE("          ", "9150", " - ", "MISC. INCOME")</f>
        <v xml:space="preserve">          9150 - MISC. INCOME</v>
      </c>
      <c r="C90" s="11"/>
      <c r="D90" s="2">
        <f>--1046.47</f>
        <v>1046.47</v>
      </c>
      <c r="E90" s="2"/>
      <c r="F90" s="19">
        <f t="shared" si="58"/>
        <v>5.9846159221882706E-3</v>
      </c>
      <c r="G90" s="2"/>
      <c r="H90" s="2">
        <f>--156.3</f>
        <v>156.30000000000001</v>
      </c>
      <c r="I90" s="2"/>
      <c r="J90" s="19">
        <f t="shared" si="59"/>
        <v>5.9283918537296194E-4</v>
      </c>
      <c r="K90" s="2"/>
      <c r="L90" s="2">
        <f t="shared" si="60"/>
        <v>890.17000000000007</v>
      </c>
      <c r="M90" s="2"/>
      <c r="N90" s="19">
        <f t="shared" si="61"/>
        <v>5.6952655150351887</v>
      </c>
      <c r="O90" s="11"/>
      <c r="P90" s="2">
        <f>--2407.79</f>
        <v>2407.79</v>
      </c>
      <c r="Q90" s="2"/>
      <c r="R90" s="19">
        <f t="shared" si="62"/>
        <v>3.9244229731244208E-3</v>
      </c>
      <c r="S90" s="2"/>
      <c r="T90" s="2">
        <f>-377.85</f>
        <v>-377.85</v>
      </c>
      <c r="U90" s="2"/>
      <c r="V90" s="19">
        <f t="shared" si="63"/>
        <v>-3.9225162429388876E-4</v>
      </c>
      <c r="W90" s="2"/>
      <c r="X90" s="2">
        <f t="shared" si="64"/>
        <v>2785.64</v>
      </c>
      <c r="Y90" s="2"/>
      <c r="Z90" s="19">
        <f t="shared" si="65"/>
        <v>-7.3723435225618621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5" t="s">
        <v>276</v>
      </c>
      <c r="C92" s="25"/>
      <c r="D92" s="21">
        <f>+D48-D50+D87</f>
        <v>45781.109999999971</v>
      </c>
      <c r="E92" s="13"/>
      <c r="F92" s="22">
        <f>IF(D$12=0,0,D92/D$12)</f>
        <v>0.26181578052065752</v>
      </c>
      <c r="G92" s="13"/>
      <c r="H92" s="21">
        <f>+H48-H50+H87</f>
        <v>-10530.250000000022</v>
      </c>
      <c r="I92" s="13"/>
      <c r="J92" s="22">
        <f>IF(H$12=0,0,H92/H$12)</f>
        <v>-3.9940785871872331E-2</v>
      </c>
      <c r="K92" s="16"/>
      <c r="L92" s="21">
        <f>+D92-H92</f>
        <v>56311.359999999993</v>
      </c>
      <c r="M92" s="16"/>
      <c r="N92" s="22">
        <f>IF(H92=0,0,L92/H92)</f>
        <v>-5.3475805417725004</v>
      </c>
      <c r="O92" s="26"/>
      <c r="P92" s="21">
        <f>+P48-P50+P87</f>
        <v>81752.719999999856</v>
      </c>
      <c r="Q92" s="13"/>
      <c r="R92" s="22">
        <f>IF(P$12=0,0,P92/P$12)</f>
        <v>0.13324760568131264</v>
      </c>
      <c r="S92" s="13"/>
      <c r="T92" s="21">
        <f>+T48-T50+T87</f>
        <v>-741.69000000014671</v>
      </c>
      <c r="U92" s="13"/>
      <c r="V92" s="22">
        <f>IF(T$12=0,0,T92/T$12)</f>
        <v>-7.6995926220085192E-4</v>
      </c>
      <c r="W92" s="16"/>
      <c r="X92" s="21">
        <f>+P92-T92</f>
        <v>82494.41</v>
      </c>
      <c r="Y92" s="16"/>
      <c r="Z92" s="22">
        <f>IF(T92=0,0,X92/T92)</f>
        <v>-111.22491876657861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127</v>
      </c>
      <c r="C94" s="10"/>
      <c r="D94" s="4">
        <v>10388.01</v>
      </c>
      <c r="E94" s="4"/>
      <c r="F94" s="12">
        <f>IF(D$12=0,0,D94/D$12)</f>
        <v>5.9407579811987896E-2</v>
      </c>
      <c r="G94" s="4"/>
      <c r="H94" s="4">
        <v>60328.69</v>
      </c>
      <c r="I94" s="4"/>
      <c r="J94" s="12">
        <f>IF(H$12=0,0,H94/H$12)</f>
        <v>0.22882412945756847</v>
      </c>
      <c r="K94" s="4"/>
      <c r="L94" s="4">
        <f>+D94-H94</f>
        <v>-49940.68</v>
      </c>
      <c r="M94" s="4"/>
      <c r="N94" s="12">
        <f>IF(H94=0,0,L94/H94)</f>
        <v>-0.82780978668689809</v>
      </c>
      <c r="O94" s="10"/>
      <c r="P94" s="4">
        <v>75941.279999999999</v>
      </c>
      <c r="Q94" s="4"/>
      <c r="R94" s="12">
        <f>IF(P$12=0,0,P94/P$12)</f>
        <v>0.12377562156187795</v>
      </c>
      <c r="S94" s="4"/>
      <c r="T94" s="4">
        <v>178453.3</v>
      </c>
      <c r="U94" s="4"/>
      <c r="V94" s="12">
        <f>IF(T$12=0,0,T94/T$12)</f>
        <v>0.18525498686146516</v>
      </c>
      <c r="W94" s="4"/>
      <c r="X94" s="4">
        <f>+P94-T94</f>
        <v>-102512.01999999999</v>
      </c>
      <c r="Y94" s="4"/>
      <c r="Z94" s="12">
        <f>IF(T94=0,0,X94/T94)</f>
        <v>-0.57444732039138524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5" t="s">
        <v>125</v>
      </c>
      <c r="C96" s="25"/>
      <c r="D96" s="33">
        <f>+D92-D94</f>
        <v>35393.099999999969</v>
      </c>
      <c r="E96" s="13"/>
      <c r="F96" s="35">
        <f>IF(D$12=0,0,D96/D$12)</f>
        <v>0.20240820070866961</v>
      </c>
      <c r="G96" s="13"/>
      <c r="H96" s="33">
        <f>+H92-H94</f>
        <v>-70858.940000000031</v>
      </c>
      <c r="I96" s="13"/>
      <c r="J96" s="35">
        <f>IF(H$12=0,0,H96/H$12)</f>
        <v>-0.26876491532944086</v>
      </c>
      <c r="K96" s="16"/>
      <c r="L96" s="33">
        <f>D96-H96</f>
        <v>106252.04000000001</v>
      </c>
      <c r="M96" s="16"/>
      <c r="N96" s="35">
        <f>IF(H96=0,0,L96/H96)</f>
        <v>-1.4994867267277772</v>
      </c>
      <c r="O96" s="26"/>
      <c r="P96" s="33">
        <f>+P92-P94</f>
        <v>5811.4399999998568</v>
      </c>
      <c r="Q96" s="13"/>
      <c r="R96" s="35">
        <f>IF(P$12=0,0,P96/P$12)</f>
        <v>9.4719841194346784E-3</v>
      </c>
      <c r="S96" s="13"/>
      <c r="T96" s="33">
        <f>+T92-T94</f>
        <v>-179194.99000000014</v>
      </c>
      <c r="U96" s="13"/>
      <c r="V96" s="35">
        <f>IF(T$12=0,0,T96/T$12)</f>
        <v>-0.18602494612366602</v>
      </c>
      <c r="W96" s="16"/>
      <c r="X96" s="33">
        <f>P96-T96</f>
        <v>185006.43</v>
      </c>
      <c r="Y96" s="16"/>
      <c r="Z96" s="35">
        <f>IF(T96=0,0,X96/T96)</f>
        <v>-1.032430817401758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5" t="s">
        <v>293</v>
      </c>
      <c r="C99" s="25"/>
      <c r="D99" s="31">
        <f>SUM(D96:D98)</f>
        <v>35393.099999999969</v>
      </c>
      <c r="E99" s="13"/>
      <c r="F99" s="32">
        <f>IF(D$12=0,0,D99/D$12)</f>
        <v>0.20240820070866961</v>
      </c>
      <c r="G99" s="13"/>
      <c r="H99" s="31">
        <f>SUM(H96:H98)</f>
        <v>-70858.940000000031</v>
      </c>
      <c r="I99" s="13"/>
      <c r="J99" s="32">
        <f>IF(H$12=0,0,H99/H$12)</f>
        <v>-0.26876491532944086</v>
      </c>
      <c r="K99" s="16"/>
      <c r="L99" s="31">
        <f>+D99-H99</f>
        <v>106252.04000000001</v>
      </c>
      <c r="M99" s="16"/>
      <c r="N99" s="32">
        <f>IF(H99=0,0,L99/H99)</f>
        <v>-1.4994867267277772</v>
      </c>
      <c r="O99" s="26"/>
      <c r="P99" s="31">
        <f>SUM(P96:P98)</f>
        <v>5811.4399999998568</v>
      </c>
      <c r="Q99" s="13"/>
      <c r="R99" s="32">
        <f>IF(P$12=0,0,P99/P$12)</f>
        <v>9.4719841194346784E-3</v>
      </c>
      <c r="S99" s="13"/>
      <c r="T99" s="31">
        <f>SUM(T96:T98)</f>
        <v>-179194.99000000014</v>
      </c>
      <c r="U99" s="13"/>
      <c r="V99" s="32">
        <f>IF(T$12=0,0,T99/T$12)</f>
        <v>-0.18602494612366602</v>
      </c>
      <c r="W99" s="16"/>
      <c r="X99" s="31">
        <f>+P99-T99</f>
        <v>185006.43</v>
      </c>
      <c r="Y99" s="16"/>
      <c r="Z99" s="32">
        <f>IF(T99=0,0,X99/T99)</f>
        <v>-1.032430817401758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8">
        <v>44481.985639618055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3" t="s">
        <v>56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52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","317", " - ", "Computer Store")</f>
        <v>Department 317 - Computer Store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174860.00999999998</v>
      </c>
      <c r="E12" s="4"/>
      <c r="F12" s="12"/>
      <c r="G12" s="4"/>
      <c r="H12" s="4">
        <f>SUM(OSRRefH13x_0)</f>
        <v>263646.53999999998</v>
      </c>
      <c r="I12" s="4"/>
      <c r="J12" s="12"/>
      <c r="K12" s="4"/>
      <c r="L12" s="4">
        <f t="shared" ref="L12:L32" si="0">+D12-H12</f>
        <v>-88786.53</v>
      </c>
      <c r="M12" s="4"/>
      <c r="N12" s="12">
        <f t="shared" ref="N12:N32" si="1">IF(H12=0,0,L12/H12)</f>
        <v>-0.33676349403257866</v>
      </c>
      <c r="O12" s="10"/>
      <c r="P12" s="4">
        <f>SUM(OSRRefP13x_0)</f>
        <v>613539.87999999989</v>
      </c>
      <c r="Q12" s="4"/>
      <c r="R12" s="12"/>
      <c r="S12" s="4"/>
      <c r="T12" s="4">
        <f>SUM(OSRRefT13x_0)</f>
        <v>963284.72999999986</v>
      </c>
      <c r="U12" s="4"/>
      <c r="V12" s="12"/>
      <c r="W12" s="4"/>
      <c r="X12" s="4">
        <f t="shared" ref="X12:X32" si="2">+P12-T12</f>
        <v>-349744.85</v>
      </c>
      <c r="Y12" s="4"/>
      <c r="Z12" s="12">
        <f t="shared" ref="Z12:Z32" si="3">IF(T12=0,0,X12/T12)</f>
        <v>-0.36307525605643104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--115763.59</f>
        <v>115763.59</v>
      </c>
      <c r="E13" s="2"/>
      <c r="F13" s="19"/>
      <c r="G13" s="2"/>
      <c r="H13" s="2">
        <f>-549.51</f>
        <v>-549.51</v>
      </c>
      <c r="I13" s="2"/>
      <c r="J13" s="19"/>
      <c r="K13" s="2"/>
      <c r="L13" s="2">
        <f t="shared" si="0"/>
        <v>116313.09999999999</v>
      </c>
      <c r="M13" s="2"/>
      <c r="N13" s="19">
        <f t="shared" si="1"/>
        <v>-211.66693963713124</v>
      </c>
      <c r="O13" s="11"/>
      <c r="P13" s="2">
        <f>--497929.32</f>
        <v>497929.32</v>
      </c>
      <c r="Q13" s="2"/>
      <c r="R13" s="19"/>
      <c r="S13" s="2"/>
      <c r="T13" s="2">
        <f>-1723.7</f>
        <v>-1723.7</v>
      </c>
      <c r="U13" s="2"/>
      <c r="V13" s="19"/>
      <c r="W13" s="2"/>
      <c r="X13" s="2">
        <f t="shared" si="2"/>
        <v>499653.02</v>
      </c>
      <c r="Y13" s="2"/>
      <c r="Z13" s="19">
        <f t="shared" si="3"/>
        <v>-289.87237918431282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 t="shared" ref="D14:D18" si="4">0</f>
        <v>0</v>
      </c>
      <c r="E14" s="2"/>
      <c r="F14" s="19"/>
      <c r="G14" s="2"/>
      <c r="H14" s="2">
        <f>--12167.65</f>
        <v>12167.65</v>
      </c>
      <c r="I14" s="2"/>
      <c r="J14" s="19"/>
      <c r="K14" s="2"/>
      <c r="L14" s="2">
        <f t="shared" si="0"/>
        <v>-12167.65</v>
      </c>
      <c r="M14" s="2"/>
      <c r="N14" s="19">
        <f t="shared" si="1"/>
        <v>-1</v>
      </c>
      <c r="O14" s="11"/>
      <c r="P14" s="2">
        <f t="shared" ref="P14:P18" si="5">0</f>
        <v>0</v>
      </c>
      <c r="Q14" s="2"/>
      <c r="R14" s="19"/>
      <c r="S14" s="2"/>
      <c r="T14" s="2">
        <f>--50030.67</f>
        <v>50030.67</v>
      </c>
      <c r="U14" s="2"/>
      <c r="V14" s="19"/>
      <c r="W14" s="2"/>
      <c r="X14" s="2">
        <f t="shared" si="2"/>
        <v>-50030.67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 t="shared" si="4"/>
        <v>0</v>
      </c>
      <c r="E15" s="2"/>
      <c r="F15" s="19"/>
      <c r="G15" s="2"/>
      <c r="H15" s="2">
        <f>--198101.2</f>
        <v>198101.2</v>
      </c>
      <c r="I15" s="2"/>
      <c r="J15" s="19"/>
      <c r="K15" s="2"/>
      <c r="L15" s="2">
        <f t="shared" si="0"/>
        <v>-198101.2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--739313.21</f>
        <v>739313.21</v>
      </c>
      <c r="U15" s="2"/>
      <c r="V15" s="19"/>
      <c r="W15" s="2"/>
      <c r="X15" s="2">
        <f t="shared" si="2"/>
        <v>-739313.21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 t="shared" si="4"/>
        <v>0</v>
      </c>
      <c r="E16" s="2"/>
      <c r="F16" s="19"/>
      <c r="G16" s="2"/>
      <c r="H16" s="2">
        <f>--18937.34</f>
        <v>18937.34</v>
      </c>
      <c r="I16" s="2"/>
      <c r="J16" s="19"/>
      <c r="K16" s="2"/>
      <c r="L16" s="2">
        <f t="shared" si="0"/>
        <v>-18937.34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--68652.7</f>
        <v>68652.7</v>
      </c>
      <c r="U16" s="2"/>
      <c r="V16" s="19"/>
      <c r="W16" s="2"/>
      <c r="X16" s="2">
        <f t="shared" si="2"/>
        <v>-68652.7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--852.96</f>
        <v>852.96</v>
      </c>
      <c r="I17" s="2"/>
      <c r="J17" s="19"/>
      <c r="K17" s="2"/>
      <c r="L17" s="2">
        <f t="shared" si="0"/>
        <v>-852.96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--981.96</f>
        <v>981.96</v>
      </c>
      <c r="U17" s="2"/>
      <c r="V17" s="19"/>
      <c r="W17" s="2"/>
      <c r="X17" s="2">
        <f t="shared" si="2"/>
        <v>-981.96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 t="shared" si="4"/>
        <v>0</v>
      </c>
      <c r="E18" s="2"/>
      <c r="F18" s="19"/>
      <c r="G18" s="2"/>
      <c r="H18" s="2">
        <f>--713.93</f>
        <v>713.93</v>
      </c>
      <c r="I18" s="2"/>
      <c r="J18" s="19"/>
      <c r="K18" s="2"/>
      <c r="L18" s="2">
        <f t="shared" si="0"/>
        <v>-713.93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--27981.41</f>
        <v>27981.41</v>
      </c>
      <c r="U18" s="2"/>
      <c r="V18" s="19"/>
      <c r="W18" s="2"/>
      <c r="X18" s="2">
        <f t="shared" si="2"/>
        <v>-27981.41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--79696.64</f>
        <v>79696.639999999999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79696.639999999999</v>
      </c>
      <c r="M19" s="2"/>
      <c r="N19" s="19">
        <f t="shared" si="1"/>
        <v>0</v>
      </c>
      <c r="O19" s="11"/>
      <c r="P19" s="2">
        <f>--196474.52</f>
        <v>196474.52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196474.52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 t="shared" ref="D20:D24" si="6">0</f>
        <v>0</v>
      </c>
      <c r="E20" s="2"/>
      <c r="F20" s="19"/>
      <c r="G20" s="2"/>
      <c r="H20" s="2">
        <f>--669.89</f>
        <v>669.89</v>
      </c>
      <c r="I20" s="2"/>
      <c r="J20" s="19"/>
      <c r="K20" s="2"/>
      <c r="L20" s="2">
        <f t="shared" si="0"/>
        <v>-669.89</v>
      </c>
      <c r="M20" s="2"/>
      <c r="N20" s="19">
        <f t="shared" si="1"/>
        <v>-1</v>
      </c>
      <c r="O20" s="11"/>
      <c r="P20" s="2">
        <f t="shared" ref="P20:P24" si="7">0</f>
        <v>0</v>
      </c>
      <c r="Q20" s="2"/>
      <c r="R20" s="19"/>
      <c r="S20" s="2"/>
      <c r="T20" s="2">
        <f>--3309.16</f>
        <v>3309.16</v>
      </c>
      <c r="U20" s="2"/>
      <c r="V20" s="19"/>
      <c r="W20" s="2"/>
      <c r="X20" s="2">
        <f t="shared" si="2"/>
        <v>-3309.16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 t="shared" si="6"/>
        <v>0</v>
      </c>
      <c r="E21" s="2"/>
      <c r="F21" s="19"/>
      <c r="G21" s="2"/>
      <c r="H21" s="2">
        <f>--38657</f>
        <v>38657</v>
      </c>
      <c r="I21" s="2"/>
      <c r="J21" s="19"/>
      <c r="K21" s="2"/>
      <c r="L21" s="2">
        <f t="shared" si="0"/>
        <v>-38657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--120724.38</f>
        <v>120724.38</v>
      </c>
      <c r="U21" s="2"/>
      <c r="V21" s="19"/>
      <c r="W21" s="2"/>
      <c r="X21" s="2">
        <f t="shared" si="2"/>
        <v>-120724.38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 t="shared" si="6"/>
        <v>0</v>
      </c>
      <c r="E22" s="2"/>
      <c r="F22" s="19"/>
      <c r="G22" s="2"/>
      <c r="H22" s="2">
        <f>--1946.8</f>
        <v>1946.8</v>
      </c>
      <c r="I22" s="2"/>
      <c r="J22" s="19"/>
      <c r="K22" s="2"/>
      <c r="L22" s="2">
        <f t="shared" si="0"/>
        <v>-1946.8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--5066.48</f>
        <v>5066.4799999999996</v>
      </c>
      <c r="U22" s="2"/>
      <c r="V22" s="19"/>
      <c r="W22" s="2"/>
      <c r="X22" s="2">
        <f t="shared" si="2"/>
        <v>-5066.4799999999996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 t="shared" si="6"/>
        <v>0</v>
      </c>
      <c r="E23" s="2"/>
      <c r="F23" s="19"/>
      <c r="G23" s="2"/>
      <c r="H23" s="2">
        <f>--8427.6</f>
        <v>8427.6</v>
      </c>
      <c r="I23" s="2"/>
      <c r="J23" s="19"/>
      <c r="K23" s="2"/>
      <c r="L23" s="2">
        <f t="shared" si="0"/>
        <v>-8427.6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--19226.09</f>
        <v>19226.09</v>
      </c>
      <c r="U23" s="2"/>
      <c r="V23" s="19"/>
      <c r="W23" s="2"/>
      <c r="X23" s="2">
        <f t="shared" si="2"/>
        <v>-19226.09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 t="shared" si="6"/>
        <v>0</v>
      </c>
      <c r="E24" s="2"/>
      <c r="F24" s="19"/>
      <c r="G24" s="2"/>
      <c r="H24" s="2">
        <f>--460.89</f>
        <v>460.89</v>
      </c>
      <c r="I24" s="2"/>
      <c r="J24" s="19"/>
      <c r="K24" s="2"/>
      <c r="L24" s="2">
        <f t="shared" si="0"/>
        <v>-460.89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--873.79</f>
        <v>873.79</v>
      </c>
      <c r="U24" s="2"/>
      <c r="V24" s="19"/>
      <c r="W24" s="2"/>
      <c r="X24" s="2">
        <f t="shared" si="2"/>
        <v>-873.79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"4200", " - ", "TAXABLE RETURNS")</f>
        <v xml:space="preserve">          4200 - TAXABLE RETURNS</v>
      </c>
      <c r="C25" s="11"/>
      <c r="D25" s="2">
        <f>-20557.25</f>
        <v>-20557.25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-20557.25</v>
      </c>
      <c r="M25" s="2"/>
      <c r="N25" s="19">
        <f t="shared" si="1"/>
        <v>0</v>
      </c>
      <c r="O25" s="11"/>
      <c r="P25" s="2">
        <f>-80174.16</f>
        <v>-80174.16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-80174.16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"4281", " - ", "SALES RETURN TAXABLE-ELECTRONI")</f>
        <v xml:space="preserve">          4281 - SALES RETURN TAXABLE-ELECTRONI</v>
      </c>
      <c r="C26" s="11"/>
      <c r="D26" s="2">
        <f t="shared" ref="D26:D30" si="8">0</f>
        <v>0</v>
      </c>
      <c r="E26" s="2"/>
      <c r="F26" s="19"/>
      <c r="G26" s="2"/>
      <c r="H26" s="2">
        <f>-557.94</f>
        <v>-557.94000000000005</v>
      </c>
      <c r="I26" s="2"/>
      <c r="J26" s="19"/>
      <c r="K26" s="2"/>
      <c r="L26" s="2">
        <f t="shared" si="0"/>
        <v>557.94000000000005</v>
      </c>
      <c r="M26" s="2"/>
      <c r="N26" s="19">
        <f t="shared" si="1"/>
        <v>-1</v>
      </c>
      <c r="O26" s="11"/>
      <c r="P26" s="2">
        <f t="shared" ref="P26:P30" si="9">0</f>
        <v>0</v>
      </c>
      <c r="Q26" s="2"/>
      <c r="R26" s="19"/>
      <c r="S26" s="2"/>
      <c r="T26" s="2">
        <f>-14274.16</f>
        <v>-14274.16</v>
      </c>
      <c r="U26" s="2"/>
      <c r="V26" s="19"/>
      <c r="W26" s="2"/>
      <c r="X26" s="2">
        <f t="shared" si="2"/>
        <v>14274.16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"4282", " - ", "SALES RETURN TAXABLE-COMPUTER")</f>
        <v xml:space="preserve">          4282 - SALES RETURN TAXABLE-COMPUTER</v>
      </c>
      <c r="C27" s="11"/>
      <c r="D27" s="2">
        <f t="shared" si="8"/>
        <v>0</v>
      </c>
      <c r="E27" s="2"/>
      <c r="F27" s="19"/>
      <c r="G27" s="2"/>
      <c r="H27" s="2">
        <f>-14636</f>
        <v>-14636</v>
      </c>
      <c r="I27" s="2"/>
      <c r="J27" s="19"/>
      <c r="K27" s="2"/>
      <c r="L27" s="2">
        <f t="shared" si="0"/>
        <v>14636</v>
      </c>
      <c r="M27" s="2"/>
      <c r="N27" s="19">
        <f t="shared" si="1"/>
        <v>-1</v>
      </c>
      <c r="O27" s="11"/>
      <c r="P27" s="2">
        <f t="shared" si="9"/>
        <v>0</v>
      </c>
      <c r="Q27" s="2"/>
      <c r="R27" s="19"/>
      <c r="S27" s="2"/>
      <c r="T27" s="2">
        <f>-48285</f>
        <v>-48285</v>
      </c>
      <c r="U27" s="2"/>
      <c r="V27" s="19"/>
      <c r="W27" s="2"/>
      <c r="X27" s="2">
        <f t="shared" si="2"/>
        <v>48285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"4283", " - ", "SALES RETURN TAXABLE-COMPUTER")</f>
        <v xml:space="preserve">          4283 - SALES RETURN TAXABLE-COMPUTER</v>
      </c>
      <c r="C28" s="11"/>
      <c r="D28" s="2">
        <f t="shared" si="8"/>
        <v>0</v>
      </c>
      <c r="E28" s="2"/>
      <c r="F28" s="19"/>
      <c r="G28" s="2"/>
      <c r="H28" s="2">
        <f>-483.9</f>
        <v>-483.9</v>
      </c>
      <c r="I28" s="2"/>
      <c r="J28" s="19"/>
      <c r="K28" s="2"/>
      <c r="L28" s="2">
        <f t="shared" si="0"/>
        <v>483.9</v>
      </c>
      <c r="M28" s="2"/>
      <c r="N28" s="19">
        <f t="shared" si="1"/>
        <v>-1</v>
      </c>
      <c r="O28" s="11"/>
      <c r="P28" s="2">
        <f t="shared" si="9"/>
        <v>0</v>
      </c>
      <c r="Q28" s="2"/>
      <c r="R28" s="19"/>
      <c r="S28" s="2"/>
      <c r="T28" s="2">
        <f>-2002.73</f>
        <v>-2002.73</v>
      </c>
      <c r="U28" s="2"/>
      <c r="V28" s="19"/>
      <c r="W28" s="2"/>
      <c r="X28" s="2">
        <f t="shared" si="2"/>
        <v>2002.73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"4285", " - ", "SALES RETURN TAXABLE-SOFTWARE")</f>
        <v xml:space="preserve">          4285 - SALES RETURN TAXABLE-SOFTWARE</v>
      </c>
      <c r="C29" s="11"/>
      <c r="D29" s="2">
        <f t="shared" si="8"/>
        <v>0</v>
      </c>
      <c r="E29" s="2"/>
      <c r="F29" s="19"/>
      <c r="G29" s="2"/>
      <c r="H29" s="2">
        <f>-552.98</f>
        <v>-552.98</v>
      </c>
      <c r="I29" s="2"/>
      <c r="J29" s="19"/>
      <c r="K29" s="2"/>
      <c r="L29" s="2">
        <f t="shared" si="0"/>
        <v>552.98</v>
      </c>
      <c r="M29" s="2"/>
      <c r="N29" s="19">
        <f t="shared" si="1"/>
        <v>-1</v>
      </c>
      <c r="O29" s="11"/>
      <c r="P29" s="2">
        <f t="shared" si="9"/>
        <v>0</v>
      </c>
      <c r="Q29" s="2"/>
      <c r="R29" s="19"/>
      <c r="S29" s="2"/>
      <c r="T29" s="2">
        <f>-552.98</f>
        <v>-552.98</v>
      </c>
      <c r="U29" s="2"/>
      <c r="V29" s="19"/>
      <c r="W29" s="2"/>
      <c r="X29" s="2">
        <f t="shared" si="2"/>
        <v>552.98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"4286", " - ", "SALES RETURN TAXABLE-COMPUTER")</f>
        <v xml:space="preserve">          4286 - SALES RETURN TAXABLE-COMPUTER</v>
      </c>
      <c r="C30" s="11"/>
      <c r="D30" s="2">
        <f t="shared" si="8"/>
        <v>0</v>
      </c>
      <c r="E30" s="2"/>
      <c r="F30" s="19"/>
      <c r="G30" s="2"/>
      <c r="H30" s="2">
        <f>-258.44</f>
        <v>-258.44</v>
      </c>
      <c r="I30" s="2"/>
      <c r="J30" s="19"/>
      <c r="K30" s="2"/>
      <c r="L30" s="2">
        <f t="shared" si="0"/>
        <v>258.44</v>
      </c>
      <c r="M30" s="2"/>
      <c r="N30" s="19">
        <f t="shared" si="1"/>
        <v>-1</v>
      </c>
      <c r="O30" s="11"/>
      <c r="P30" s="2">
        <f t="shared" si="9"/>
        <v>0</v>
      </c>
      <c r="Q30" s="2"/>
      <c r="R30" s="19"/>
      <c r="S30" s="2"/>
      <c r="T30" s="2">
        <f>-412.4</f>
        <v>-412.4</v>
      </c>
      <c r="U30" s="2"/>
      <c r="V30" s="19"/>
      <c r="W30" s="2"/>
      <c r="X30" s="2">
        <f t="shared" si="2"/>
        <v>412.4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"4300", " - ", "NON-TAX RETURNS")</f>
        <v xml:space="preserve">          4300 - NON-TAX RETURNS</v>
      </c>
      <c r="C31" s="11"/>
      <c r="D31" s="2">
        <f>-42.97</f>
        <v>-42.97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-42.97</v>
      </c>
      <c r="M31" s="2"/>
      <c r="N31" s="19">
        <f t="shared" si="1"/>
        <v>0</v>
      </c>
      <c r="O31" s="11"/>
      <c r="P31" s="2">
        <f>-689.8</f>
        <v>-689.8</v>
      </c>
      <c r="Q31" s="2"/>
      <c r="R31" s="19"/>
      <c r="S31" s="2"/>
      <c r="T31" s="2">
        <f>0</f>
        <v>0</v>
      </c>
      <c r="U31" s="2"/>
      <c r="V31" s="19"/>
      <c r="W31" s="2"/>
      <c r="X31" s="2">
        <f t="shared" si="2"/>
        <v>-689.8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"4381", " - ", "SALES RETURN NON TAXABLE-ELECT")</f>
        <v xml:space="preserve">          4381 - SALES RETURN NON TAXABLE-ELECT</v>
      </c>
      <c r="C32" s="11"/>
      <c r="D32" s="2">
        <f>0</f>
        <v>0</v>
      </c>
      <c r="E32" s="2"/>
      <c r="F32" s="19"/>
      <c r="G32" s="2"/>
      <c r="H32" s="2">
        <f>-249.95</f>
        <v>-249.95</v>
      </c>
      <c r="I32" s="2"/>
      <c r="J32" s="19"/>
      <c r="K32" s="2"/>
      <c r="L32" s="2">
        <f t="shared" si="0"/>
        <v>249.95</v>
      </c>
      <c r="M32" s="2"/>
      <c r="N32" s="19">
        <f t="shared" si="1"/>
        <v>-1</v>
      </c>
      <c r="O32" s="11"/>
      <c r="P32" s="2">
        <f>0</f>
        <v>0</v>
      </c>
      <c r="Q32" s="2"/>
      <c r="R32" s="19"/>
      <c r="S32" s="2"/>
      <c r="T32" s="2">
        <f>-5624.15</f>
        <v>-5624.15</v>
      </c>
      <c r="U32" s="2"/>
      <c r="V32" s="19"/>
      <c r="W32" s="2"/>
      <c r="X32" s="2">
        <f t="shared" si="2"/>
        <v>5624.15</v>
      </c>
      <c r="Y32" s="2"/>
      <c r="Z32" s="19">
        <f t="shared" si="3"/>
        <v>-1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6" t="s">
        <v>256</v>
      </c>
      <c r="C34" s="10"/>
      <c r="D34" s="4">
        <f>SUM(OSRRefD16x_0)</f>
        <v>117257.95000000001</v>
      </c>
      <c r="E34" s="4"/>
      <c r="F34" s="12">
        <f t="shared" ref="F34:F46" si="10">IF(D$12=0,0,D34/D$12)</f>
        <v>0.6705818557370552</v>
      </c>
      <c r="G34" s="4"/>
      <c r="H34" s="4">
        <f>SUM(OSRRefH16x_0)</f>
        <v>262132</v>
      </c>
      <c r="I34" s="4"/>
      <c r="J34" s="12">
        <f t="shared" ref="J34:J46" si="11">IF(H$12=0,0,H34/H$12)</f>
        <v>0.99425541484443536</v>
      </c>
      <c r="K34" s="4"/>
      <c r="L34" s="4">
        <f t="shared" ref="L34:L46" si="12">+D34-H34</f>
        <v>-144874.04999999999</v>
      </c>
      <c r="M34" s="4"/>
      <c r="N34" s="12">
        <f t="shared" ref="N34:N46" si="13">IF(H34=0,0,L34/H34)</f>
        <v>-0.55267594189187119</v>
      </c>
      <c r="O34" s="10"/>
      <c r="P34" s="4">
        <f>SUM(OSRRefP16x_0)</f>
        <v>491422.55000000005</v>
      </c>
      <c r="Q34" s="4"/>
      <c r="R34" s="12">
        <f t="shared" ref="R34:R46" si="14">IF(P$12=0,0,P34/P$12)</f>
        <v>0.80096268558777328</v>
      </c>
      <c r="S34" s="4"/>
      <c r="T34" s="4">
        <f>SUM(OSRRefT16x_0)</f>
        <v>924552</v>
      </c>
      <c r="U34" s="4"/>
      <c r="V34" s="12">
        <f t="shared" ref="V34:V46" si="15">IF(T$12=0,0,T34/T$12)</f>
        <v>0.95979098516385719</v>
      </c>
      <c r="W34" s="4"/>
      <c r="X34" s="4">
        <f t="shared" ref="X34:X46" si="16">+P34-T34</f>
        <v>-433129.44999999995</v>
      </c>
      <c r="Y34" s="4"/>
      <c r="Z34" s="12">
        <f t="shared" ref="Z34:Z46" si="17">IF(T34=0,0,X34/T34)</f>
        <v>-0.4684749478666424</v>
      </c>
    </row>
    <row r="35" spans="1:26" s="24" customFormat="1" hidden="1" outlineLevel="1" x14ac:dyDescent="0.25">
      <c r="A35" s="44"/>
      <c r="B35" s="11" t="str">
        <f>CONCATENATE("          ", "5000", " - ", "PURCHASES @ COST")</f>
        <v xml:space="preserve">          5000 - PURCHASES @ COST</v>
      </c>
      <c r="C35" s="11"/>
      <c r="D35" s="2">
        <v>169066.36</v>
      </c>
      <c r="E35" s="2"/>
      <c r="F35" s="19">
        <f t="shared" si="10"/>
        <v>0.96686692400395036</v>
      </c>
      <c r="G35" s="2"/>
      <c r="H35" s="2">
        <v>0</v>
      </c>
      <c r="I35" s="2"/>
      <c r="J35" s="19">
        <f t="shared" si="11"/>
        <v>0</v>
      </c>
      <c r="K35" s="2"/>
      <c r="L35" s="2">
        <f t="shared" si="12"/>
        <v>169066.36</v>
      </c>
      <c r="M35" s="2"/>
      <c r="N35" s="19">
        <f t="shared" si="13"/>
        <v>0</v>
      </c>
      <c r="O35" s="11"/>
      <c r="P35" s="2">
        <v>552202.23</v>
      </c>
      <c r="Q35" s="2"/>
      <c r="R35" s="19">
        <f t="shared" si="14"/>
        <v>0.90002662907584763</v>
      </c>
      <c r="S35" s="2"/>
      <c r="T35" s="2">
        <v>0</v>
      </c>
      <c r="U35" s="2"/>
      <c r="V35" s="19">
        <f t="shared" si="15"/>
        <v>0</v>
      </c>
      <c r="W35" s="2"/>
      <c r="X35" s="2">
        <f t="shared" si="16"/>
        <v>552202.23</v>
      </c>
      <c r="Y35" s="2"/>
      <c r="Z35" s="19">
        <f t="shared" si="17"/>
        <v>0</v>
      </c>
    </row>
    <row r="36" spans="1:26" s="24" customFormat="1" hidden="1" outlineLevel="1" x14ac:dyDescent="0.25">
      <c r="A36" s="44"/>
      <c r="B36" s="11" t="str">
        <f>CONCATENATE("          ", "5081", " - ", "PURCHASES @ COST-ELECTRONICS")</f>
        <v xml:space="preserve">          5081 - PURCHASES @ COST-ELECTRONICS</v>
      </c>
      <c r="C36" s="11"/>
      <c r="D36" s="2">
        <v>0</v>
      </c>
      <c r="E36" s="2"/>
      <c r="F36" s="19">
        <f t="shared" si="10"/>
        <v>0</v>
      </c>
      <c r="G36" s="2"/>
      <c r="H36" s="2">
        <v>8274.98</v>
      </c>
      <c r="I36" s="2"/>
      <c r="J36" s="19">
        <f t="shared" si="11"/>
        <v>3.1386643647968983E-2</v>
      </c>
      <c r="K36" s="2"/>
      <c r="L36" s="2">
        <f t="shared" si="12"/>
        <v>-8274.98</v>
      </c>
      <c r="M36" s="2"/>
      <c r="N36" s="19">
        <f t="shared" si="13"/>
        <v>-1</v>
      </c>
      <c r="O36" s="11"/>
      <c r="P36" s="2">
        <v>0</v>
      </c>
      <c r="Q36" s="2"/>
      <c r="R36" s="19">
        <f t="shared" si="14"/>
        <v>0</v>
      </c>
      <c r="S36" s="2"/>
      <c r="T36" s="2">
        <v>15697.45</v>
      </c>
      <c r="U36" s="2"/>
      <c r="V36" s="19">
        <f t="shared" si="15"/>
        <v>1.6295752970152452E-2</v>
      </c>
      <c r="W36" s="2"/>
      <c r="X36" s="2">
        <f t="shared" si="16"/>
        <v>-15697.45</v>
      </c>
      <c r="Y36" s="2"/>
      <c r="Z36" s="19">
        <f t="shared" si="17"/>
        <v>-1</v>
      </c>
    </row>
    <row r="37" spans="1:26" s="24" customFormat="1" hidden="1" outlineLevel="1" x14ac:dyDescent="0.25">
      <c r="A37" s="44"/>
      <c r="B37" s="11" t="str">
        <f>CONCATENATE("          ", "5082", " - ", "PURCHASES @ COST-COMPUTER HARD")</f>
        <v xml:space="preserve">          5082 - PURCHASES @ COST-COMPUTER HARD</v>
      </c>
      <c r="C37" s="11"/>
      <c r="D37" s="2">
        <v>-22380.03</v>
      </c>
      <c r="E37" s="2"/>
      <c r="F37" s="19">
        <f t="shared" si="10"/>
        <v>-0.12798826901588306</v>
      </c>
      <c r="G37" s="2"/>
      <c r="H37" s="2">
        <v>470149.41</v>
      </c>
      <c r="I37" s="2"/>
      <c r="J37" s="19">
        <f t="shared" si="11"/>
        <v>1.7832565145743995</v>
      </c>
      <c r="K37" s="2"/>
      <c r="L37" s="2">
        <f t="shared" si="12"/>
        <v>-492529.43999999994</v>
      </c>
      <c r="M37" s="2"/>
      <c r="N37" s="19">
        <f t="shared" si="13"/>
        <v>-1.0476019527494462</v>
      </c>
      <c r="O37" s="11"/>
      <c r="P37" s="2">
        <v>-56783.85</v>
      </c>
      <c r="Q37" s="2"/>
      <c r="R37" s="19">
        <f t="shared" si="14"/>
        <v>-9.2551196509019121E-2</v>
      </c>
      <c r="S37" s="2"/>
      <c r="T37" s="2">
        <v>713373.21</v>
      </c>
      <c r="U37" s="2"/>
      <c r="V37" s="19">
        <f t="shared" si="15"/>
        <v>0.74056318737659221</v>
      </c>
      <c r="W37" s="2"/>
      <c r="X37" s="2">
        <f t="shared" si="16"/>
        <v>-770157.05999999994</v>
      </c>
      <c r="Y37" s="2"/>
      <c r="Z37" s="19">
        <f t="shared" si="17"/>
        <v>-1.0795990783001228</v>
      </c>
    </row>
    <row r="38" spans="1:26" s="24" customFormat="1" hidden="1" outlineLevel="1" x14ac:dyDescent="0.25">
      <c r="A38" s="44"/>
      <c r="B38" s="11" t="str">
        <f>CONCATENATE("          ", "5083", " - ", "PURCHASES @ COST-COMPUTER EQUI")</f>
        <v xml:space="preserve">          5083 - PURCHASES @ COST-COMPUTER EQUI</v>
      </c>
      <c r="C38" s="11"/>
      <c r="D38" s="2">
        <v>0</v>
      </c>
      <c r="E38" s="2"/>
      <c r="F38" s="19">
        <f t="shared" si="10"/>
        <v>0</v>
      </c>
      <c r="G38" s="2"/>
      <c r="H38" s="2">
        <v>24155.15</v>
      </c>
      <c r="I38" s="2"/>
      <c r="J38" s="19">
        <f t="shared" si="11"/>
        <v>9.1619446247995534E-2</v>
      </c>
      <c r="K38" s="2"/>
      <c r="L38" s="2">
        <f t="shared" si="12"/>
        <v>-24155.15</v>
      </c>
      <c r="M38" s="2"/>
      <c r="N38" s="19">
        <f t="shared" si="13"/>
        <v>-1</v>
      </c>
      <c r="O38" s="11"/>
      <c r="P38" s="2">
        <v>0</v>
      </c>
      <c r="Q38" s="2"/>
      <c r="R38" s="19">
        <f t="shared" si="14"/>
        <v>0</v>
      </c>
      <c r="S38" s="2"/>
      <c r="T38" s="2">
        <v>61434</v>
      </c>
      <c r="U38" s="2"/>
      <c r="V38" s="19">
        <f t="shared" si="15"/>
        <v>6.3775536024535562E-2</v>
      </c>
      <c r="W38" s="2"/>
      <c r="X38" s="2">
        <f t="shared" si="16"/>
        <v>-61434</v>
      </c>
      <c r="Y38" s="2"/>
      <c r="Z38" s="19">
        <f t="shared" si="17"/>
        <v>-1</v>
      </c>
    </row>
    <row r="39" spans="1:26" s="24" customFormat="1" hidden="1" outlineLevel="1" x14ac:dyDescent="0.25">
      <c r="A39" s="44"/>
      <c r="B39" s="11" t="str">
        <f>CONCATENATE("          ", "5085", " - ", "PURCHASES @ COST-SOFTWARE")</f>
        <v xml:space="preserve">          5085 - PURCHASES @ COST-SOFTWARE</v>
      </c>
      <c r="C39" s="11"/>
      <c r="D39" s="2">
        <v>0</v>
      </c>
      <c r="E39" s="2"/>
      <c r="F39" s="19">
        <f t="shared" si="10"/>
        <v>0</v>
      </c>
      <c r="G39" s="2"/>
      <c r="H39" s="2">
        <v>8609.1200000000008</v>
      </c>
      <c r="I39" s="2"/>
      <c r="J39" s="19">
        <f t="shared" si="11"/>
        <v>3.2654022313359399E-2</v>
      </c>
      <c r="K39" s="2"/>
      <c r="L39" s="2">
        <f t="shared" si="12"/>
        <v>-8609.1200000000008</v>
      </c>
      <c r="M39" s="2"/>
      <c r="N39" s="19">
        <f t="shared" si="13"/>
        <v>-1</v>
      </c>
      <c r="O39" s="11"/>
      <c r="P39" s="2">
        <v>0</v>
      </c>
      <c r="Q39" s="2"/>
      <c r="R39" s="19">
        <f t="shared" si="14"/>
        <v>0</v>
      </c>
      <c r="S39" s="2"/>
      <c r="T39" s="2">
        <v>14837.68</v>
      </c>
      <c r="U39" s="2"/>
      <c r="V39" s="19">
        <f t="shared" si="15"/>
        <v>1.5403213128894925E-2</v>
      </c>
      <c r="W39" s="2"/>
      <c r="X39" s="2">
        <f t="shared" si="16"/>
        <v>-14837.68</v>
      </c>
      <c r="Y39" s="2"/>
      <c r="Z39" s="19">
        <f t="shared" si="17"/>
        <v>-1</v>
      </c>
    </row>
    <row r="40" spans="1:26" s="24" customFormat="1" hidden="1" outlineLevel="1" x14ac:dyDescent="0.25">
      <c r="A40" s="44"/>
      <c r="B40" s="11" t="str">
        <f>CONCATENATE("          ", "5086", " - ", "PURCHASES @ COST-COMPUTER SUPP")</f>
        <v xml:space="preserve">          5086 - PURCHASES @ COST-COMPUTER SUPP</v>
      </c>
      <c r="C40" s="11"/>
      <c r="D40" s="2">
        <v>0</v>
      </c>
      <c r="E40" s="2"/>
      <c r="F40" s="19">
        <f t="shared" si="10"/>
        <v>0</v>
      </c>
      <c r="G40" s="2"/>
      <c r="H40" s="2">
        <v>18.760000000000002</v>
      </c>
      <c r="I40" s="2"/>
      <c r="J40" s="19">
        <f t="shared" si="11"/>
        <v>7.1155874072915967E-5</v>
      </c>
      <c r="K40" s="2"/>
      <c r="L40" s="2">
        <f t="shared" si="12"/>
        <v>-18.760000000000002</v>
      </c>
      <c r="M40" s="2"/>
      <c r="N40" s="19">
        <f t="shared" si="13"/>
        <v>-1</v>
      </c>
      <c r="O40" s="11"/>
      <c r="P40" s="2">
        <v>0</v>
      </c>
      <c r="Q40" s="2"/>
      <c r="R40" s="19">
        <f t="shared" si="14"/>
        <v>0</v>
      </c>
      <c r="S40" s="2"/>
      <c r="T40" s="2">
        <v>21755.97</v>
      </c>
      <c r="U40" s="2"/>
      <c r="V40" s="19">
        <f t="shared" si="15"/>
        <v>2.2585191400262314E-2</v>
      </c>
      <c r="W40" s="2"/>
      <c r="X40" s="2">
        <f t="shared" si="16"/>
        <v>-21755.97</v>
      </c>
      <c r="Y40" s="2"/>
      <c r="Z40" s="19">
        <f t="shared" si="17"/>
        <v>-1</v>
      </c>
    </row>
    <row r="41" spans="1:26" s="24" customFormat="1" hidden="1" outlineLevel="1" x14ac:dyDescent="0.25">
      <c r="A41" s="44"/>
      <c r="B41" s="11" t="str">
        <f>CONCATENATE("          ", "5200", " - ", "PURCHASES OFFSET")</f>
        <v xml:space="preserve">          5200 - PURCHASES OFFSET</v>
      </c>
      <c r="C41" s="11"/>
      <c r="D41" s="2">
        <v>-169066.36</v>
      </c>
      <c r="E41" s="2"/>
      <c r="F41" s="19">
        <f t="shared" si="10"/>
        <v>-0.96686692400395036</v>
      </c>
      <c r="G41" s="2"/>
      <c r="H41" s="2">
        <v>-511387.42</v>
      </c>
      <c r="I41" s="2"/>
      <c r="J41" s="19">
        <f t="shared" si="11"/>
        <v>-1.9396705149250206</v>
      </c>
      <c r="K41" s="2"/>
      <c r="L41" s="2">
        <f t="shared" si="12"/>
        <v>342321.06</v>
      </c>
      <c r="M41" s="2"/>
      <c r="N41" s="19">
        <f t="shared" si="13"/>
        <v>-0.66939671687660995</v>
      </c>
      <c r="O41" s="11"/>
      <c r="P41" s="2">
        <v>-552237.88</v>
      </c>
      <c r="Q41" s="2"/>
      <c r="R41" s="19">
        <f t="shared" si="14"/>
        <v>-0.9000847345082118</v>
      </c>
      <c r="S41" s="2"/>
      <c r="T41" s="2">
        <v>-827319.82</v>
      </c>
      <c r="U41" s="2"/>
      <c r="V41" s="19">
        <f t="shared" si="15"/>
        <v>-0.85885283367878162</v>
      </c>
      <c r="W41" s="2"/>
      <c r="X41" s="2">
        <f t="shared" si="16"/>
        <v>275081.93999999994</v>
      </c>
      <c r="Y41" s="2"/>
      <c r="Z41" s="19">
        <f t="shared" si="17"/>
        <v>-0.33249770324612793</v>
      </c>
    </row>
    <row r="42" spans="1:26" s="24" customFormat="1" hidden="1" outlineLevel="1" x14ac:dyDescent="0.25">
      <c r="A42" s="44"/>
      <c r="B42" s="11" t="str">
        <f>CONCATENATE("          ", "5300", " - ", "COG$ OFFSET")</f>
        <v xml:space="preserve">          5300 - COG$ OFFSET</v>
      </c>
      <c r="C42" s="11"/>
      <c r="D42" s="2">
        <v>139637.98000000001</v>
      </c>
      <c r="E42" s="2"/>
      <c r="F42" s="19">
        <f t="shared" si="10"/>
        <v>0.7985701247529382</v>
      </c>
      <c r="G42" s="2"/>
      <c r="H42" s="2">
        <v>262132</v>
      </c>
      <c r="I42" s="2"/>
      <c r="J42" s="19">
        <f t="shared" si="11"/>
        <v>0.99425541484443536</v>
      </c>
      <c r="K42" s="2"/>
      <c r="L42" s="2">
        <f t="shared" si="12"/>
        <v>-122494.01999999999</v>
      </c>
      <c r="M42" s="2"/>
      <c r="N42" s="19">
        <f t="shared" si="13"/>
        <v>-0.46729899439976802</v>
      </c>
      <c r="O42" s="11"/>
      <c r="P42" s="2">
        <v>548206.4</v>
      </c>
      <c r="Q42" s="2"/>
      <c r="R42" s="19">
        <f t="shared" si="14"/>
        <v>0.89351388209679239</v>
      </c>
      <c r="S42" s="2"/>
      <c r="T42" s="2">
        <v>924552</v>
      </c>
      <c r="U42" s="2"/>
      <c r="V42" s="19">
        <f t="shared" si="15"/>
        <v>0.95979098516385719</v>
      </c>
      <c r="W42" s="2"/>
      <c r="X42" s="2">
        <f t="shared" si="16"/>
        <v>-376345.59999999998</v>
      </c>
      <c r="Y42" s="2"/>
      <c r="Z42" s="19">
        <f t="shared" si="17"/>
        <v>-0.40705725583850338</v>
      </c>
    </row>
    <row r="43" spans="1:26" s="24" customFormat="1" hidden="1" outlineLevel="1" x14ac:dyDescent="0.25">
      <c r="A43" s="44"/>
      <c r="B43" s="11" t="str">
        <f>CONCATENATE("          ", "5500", " - ", "FREIGHT-IN")</f>
        <v xml:space="preserve">          5500 - FREIGHT-IN</v>
      </c>
      <c r="C43" s="11"/>
      <c r="D43" s="2"/>
      <c r="E43" s="2"/>
      <c r="F43" s="19">
        <f t="shared" si="10"/>
        <v>0</v>
      </c>
      <c r="G43" s="2"/>
      <c r="H43" s="2"/>
      <c r="I43" s="2"/>
      <c r="J43" s="19">
        <f t="shared" si="11"/>
        <v>0</v>
      </c>
      <c r="K43" s="2"/>
      <c r="L43" s="2">
        <f t="shared" si="12"/>
        <v>0</v>
      </c>
      <c r="M43" s="2"/>
      <c r="N43" s="19">
        <f t="shared" si="13"/>
        <v>0</v>
      </c>
      <c r="O43" s="11"/>
      <c r="P43" s="2">
        <v>35.65</v>
      </c>
      <c r="Q43" s="2"/>
      <c r="R43" s="19">
        <f t="shared" si="14"/>
        <v>5.8105432364070619E-5</v>
      </c>
      <c r="S43" s="2"/>
      <c r="T43" s="2">
        <v>0</v>
      </c>
      <c r="U43" s="2"/>
      <c r="V43" s="19">
        <f t="shared" si="15"/>
        <v>0</v>
      </c>
      <c r="W43" s="2"/>
      <c r="X43" s="2">
        <f t="shared" si="16"/>
        <v>35.65</v>
      </c>
      <c r="Y43" s="2"/>
      <c r="Z43" s="19">
        <f t="shared" si="17"/>
        <v>0</v>
      </c>
    </row>
    <row r="44" spans="1:26" s="24" customFormat="1" hidden="1" outlineLevel="1" x14ac:dyDescent="0.25">
      <c r="A44" s="44"/>
      <c r="B44" s="11" t="str">
        <f>CONCATENATE("          ", "5582", " - ", "FREIGHT-IN-COMPUTER HARDWARE")</f>
        <v xml:space="preserve">          5582 - FREIGHT-IN-COMPUTER HARDWARE</v>
      </c>
      <c r="C44" s="11"/>
      <c r="D44" s="2"/>
      <c r="E44" s="2"/>
      <c r="F44" s="19">
        <f t="shared" si="10"/>
        <v>0</v>
      </c>
      <c r="G44" s="2"/>
      <c r="H44" s="2">
        <v>24</v>
      </c>
      <c r="I44" s="2"/>
      <c r="J44" s="19">
        <f t="shared" si="11"/>
        <v>9.1030968963218717E-5</v>
      </c>
      <c r="K44" s="2"/>
      <c r="L44" s="2">
        <f t="shared" si="12"/>
        <v>-24</v>
      </c>
      <c r="M44" s="2"/>
      <c r="N44" s="19">
        <f t="shared" si="13"/>
        <v>-1</v>
      </c>
      <c r="O44" s="11"/>
      <c r="P44" s="2"/>
      <c r="Q44" s="2"/>
      <c r="R44" s="19">
        <f t="shared" si="14"/>
        <v>0</v>
      </c>
      <c r="S44" s="2"/>
      <c r="T44" s="2">
        <v>24</v>
      </c>
      <c r="U44" s="2"/>
      <c r="V44" s="19">
        <f t="shared" si="15"/>
        <v>2.4914751840818656E-5</v>
      </c>
      <c r="W44" s="2"/>
      <c r="X44" s="2">
        <f t="shared" si="16"/>
        <v>-24</v>
      </c>
      <c r="Y44" s="2"/>
      <c r="Z44" s="19">
        <f t="shared" si="17"/>
        <v>-1</v>
      </c>
    </row>
    <row r="45" spans="1:26" s="24" customFormat="1" hidden="1" outlineLevel="1" x14ac:dyDescent="0.25">
      <c r="A45" s="44"/>
      <c r="B45" s="11" t="str">
        <f>CONCATENATE("          ", "5583", " - ", "FREIGHT-IN-COMPUTER EQUIPMENT")</f>
        <v xml:space="preserve">          5583 - FREIGHT-IN-COMPUTER EQUIPMENT</v>
      </c>
      <c r="C45" s="11"/>
      <c r="D45" s="2"/>
      <c r="E45" s="2"/>
      <c r="F45" s="19">
        <f t="shared" si="10"/>
        <v>0</v>
      </c>
      <c r="G45" s="2"/>
      <c r="H45" s="2">
        <v>156</v>
      </c>
      <c r="I45" s="2"/>
      <c r="J45" s="19">
        <f t="shared" si="11"/>
        <v>5.9170129826092164E-4</v>
      </c>
      <c r="K45" s="2"/>
      <c r="L45" s="2">
        <f t="shared" si="12"/>
        <v>-156</v>
      </c>
      <c r="M45" s="2"/>
      <c r="N45" s="19">
        <f t="shared" si="13"/>
        <v>-1</v>
      </c>
      <c r="O45" s="11"/>
      <c r="P45" s="2">
        <v>0</v>
      </c>
      <c r="Q45" s="2"/>
      <c r="R45" s="19">
        <f t="shared" si="14"/>
        <v>0</v>
      </c>
      <c r="S45" s="2"/>
      <c r="T45" s="2">
        <v>173.39</v>
      </c>
      <c r="U45" s="2"/>
      <c r="V45" s="19">
        <f t="shared" si="15"/>
        <v>1.7999870090331445E-4</v>
      </c>
      <c r="W45" s="2"/>
      <c r="X45" s="2">
        <f t="shared" si="16"/>
        <v>-173.39</v>
      </c>
      <c r="Y45" s="2"/>
      <c r="Z45" s="19">
        <f t="shared" si="17"/>
        <v>-1</v>
      </c>
    </row>
    <row r="46" spans="1:26" s="24" customFormat="1" hidden="1" outlineLevel="1" x14ac:dyDescent="0.25">
      <c r="A46" s="44"/>
      <c r="B46" s="11" t="str">
        <f>CONCATENATE("          ", "5586", " - ", "FREIGHT-IN-COMPUTER SUPPLIES")</f>
        <v xml:space="preserve">          5586 - FREIGHT-IN-COMPUTER SUPPLIES</v>
      </c>
      <c r="C46" s="11"/>
      <c r="D46" s="2"/>
      <c r="E46" s="2"/>
      <c r="F46" s="19">
        <f t="shared" si="10"/>
        <v>0</v>
      </c>
      <c r="G46" s="2"/>
      <c r="H46" s="2"/>
      <c r="I46" s="2"/>
      <c r="J46" s="19">
        <f t="shared" si="11"/>
        <v>0</v>
      </c>
      <c r="K46" s="2"/>
      <c r="L46" s="2">
        <f t="shared" si="12"/>
        <v>0</v>
      </c>
      <c r="M46" s="2"/>
      <c r="N46" s="19">
        <f t="shared" si="13"/>
        <v>0</v>
      </c>
      <c r="O46" s="11"/>
      <c r="P46" s="2"/>
      <c r="Q46" s="2"/>
      <c r="R46" s="19">
        <f t="shared" si="14"/>
        <v>0</v>
      </c>
      <c r="S46" s="2"/>
      <c r="T46" s="2">
        <v>24.12</v>
      </c>
      <c r="U46" s="2"/>
      <c r="V46" s="19">
        <f t="shared" si="15"/>
        <v>2.5039325600022752E-5</v>
      </c>
      <c r="W46" s="2"/>
      <c r="X46" s="2">
        <f t="shared" si="16"/>
        <v>-24.12</v>
      </c>
      <c r="Y46" s="2"/>
      <c r="Z46" s="19">
        <f t="shared" si="17"/>
        <v>-1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5" t="s">
        <v>107</v>
      </c>
      <c r="C48" s="25"/>
      <c r="D48" s="21">
        <f>D12-D34</f>
        <v>57602.059999999969</v>
      </c>
      <c r="E48" s="13"/>
      <c r="F48" s="22">
        <f>IF(D$12=0,0,D48/D$12)</f>
        <v>0.3294181442629448</v>
      </c>
      <c r="G48" s="13"/>
      <c r="H48" s="21">
        <f>H12-H34</f>
        <v>1514.539999999979</v>
      </c>
      <c r="I48" s="13"/>
      <c r="J48" s="22">
        <f>IF(H$12=0,0,H48/H$12)</f>
        <v>5.7445851555646401E-3</v>
      </c>
      <c r="K48" s="16"/>
      <c r="L48" s="21">
        <f>+D48-H48</f>
        <v>56087.51999999999</v>
      </c>
      <c r="M48" s="16"/>
      <c r="N48" s="22">
        <f>IF(H48=0,0,L48/H48)</f>
        <v>37.032709601595712</v>
      </c>
      <c r="O48" s="26"/>
      <c r="P48" s="21">
        <f>P12-P34</f>
        <v>122117.32999999984</v>
      </c>
      <c r="Q48" s="13"/>
      <c r="R48" s="22">
        <f>IF(P$12=0,0,P48/P$12)</f>
        <v>0.19903731441222675</v>
      </c>
      <c r="S48" s="13"/>
      <c r="T48" s="21">
        <f>T12-T34</f>
        <v>38732.729999999865</v>
      </c>
      <c r="U48" s="13"/>
      <c r="V48" s="22">
        <f>IF(T$12=0,0,T48/T$12)</f>
        <v>4.0209014836142865E-2</v>
      </c>
      <c r="W48" s="16"/>
      <c r="X48" s="21">
        <f>+P48-T48</f>
        <v>83384.599999999977</v>
      </c>
      <c r="Y48" s="16"/>
      <c r="Z48" s="22">
        <f>IF(T48=0,0,X48/T48)</f>
        <v>2.1528201084715759</v>
      </c>
    </row>
    <row r="49" spans="1:26" x14ac:dyDescent="0.25">
      <c r="A49" s="9"/>
      <c r="B49" s="10"/>
      <c r="C49" s="9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7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x14ac:dyDescent="0.25">
      <c r="A50" s="10"/>
      <c r="B50" s="26" t="s">
        <v>294</v>
      </c>
      <c r="C50" s="10"/>
      <c r="D50" s="20">
        <f>SUM(OSRRefD22x_0)</f>
        <v>12211.060000000001</v>
      </c>
      <c r="E50" s="20"/>
      <c r="F50" s="30">
        <f t="shared" ref="F50:F60" si="18">IF(D$12=0,0,D50/D$12)</f>
        <v>6.9833348402530707E-2</v>
      </c>
      <c r="G50" s="20"/>
      <c r="H50" s="20">
        <f>SUM(OSRRefH22x_0)</f>
        <v>12326.230000000001</v>
      </c>
      <c r="I50" s="20"/>
      <c r="J50" s="30">
        <f t="shared" ref="J50:J60" si="19">IF(H$12=0,0,H50/H$12)</f>
        <v>4.6752860856812316E-2</v>
      </c>
      <c r="K50" s="4"/>
      <c r="L50" s="20">
        <f t="shared" ref="L50:L60" si="20">+D50-H50</f>
        <v>-115.17000000000007</v>
      </c>
      <c r="M50" s="4"/>
      <c r="N50" s="30">
        <f t="shared" ref="N50:N60" si="21">IF(H50=0,0,L50/H50)</f>
        <v>-9.3434894529795445E-3</v>
      </c>
      <c r="O50" s="10"/>
      <c r="P50" s="20">
        <f>SUM(OSRRefP22x_0)</f>
        <v>43136.049999999996</v>
      </c>
      <c r="Q50" s="20"/>
      <c r="R50" s="30">
        <f t="shared" ref="R50:R60" si="22">IF(P$12=0,0,P50/P$12)</f>
        <v>7.0306839711870087E-2</v>
      </c>
      <c r="S50" s="20"/>
      <c r="T50" s="20">
        <f>SUM(OSRRefT22x_0)</f>
        <v>39241.700000000012</v>
      </c>
      <c r="U50" s="20"/>
      <c r="V50" s="30">
        <f t="shared" ref="V50:V60" si="23">IF(T$12=0,0,T50/T$12)</f>
        <v>4.0737384054660576E-2</v>
      </c>
      <c r="W50" s="4"/>
      <c r="X50" s="20">
        <f t="shared" ref="X50:X60" si="24">+P50-T50</f>
        <v>3894.349999999984</v>
      </c>
      <c r="Y50" s="4"/>
      <c r="Z50" s="30">
        <f t="shared" ref="Z50:Z60" si="25">IF(T50=0,0,X50/T50)</f>
        <v>9.924009408358922E-2</v>
      </c>
    </row>
    <row r="51" spans="1:26" s="27" customFormat="1" outlineLevel="1" collapsed="1" x14ac:dyDescent="0.25">
      <c r="A51" s="29"/>
      <c r="B51" s="14" t="str">
        <f>CONCATENATE("     ","*Benefits                                         ")</f>
        <v xml:space="preserve">     *Benefits                                         </v>
      </c>
      <c r="C51" s="14"/>
      <c r="D51" s="1">
        <f>SUM(OSRRefD22_0x_0)</f>
        <v>1500.14</v>
      </c>
      <c r="E51" s="1"/>
      <c r="F51" s="5">
        <f t="shared" si="18"/>
        <v>8.5790913542782045E-3</v>
      </c>
      <c r="G51" s="1"/>
      <c r="H51" s="1">
        <f>SUM(OSRRefH22_0x_0)</f>
        <v>2917.2400000000007</v>
      </c>
      <c r="I51" s="1"/>
      <c r="J51" s="5">
        <f t="shared" si="19"/>
        <v>1.1064965995760843E-2</v>
      </c>
      <c r="K51" s="1"/>
      <c r="L51" s="1">
        <f t="shared" si="20"/>
        <v>-1417.1000000000006</v>
      </c>
      <c r="M51" s="1"/>
      <c r="N51" s="5">
        <f t="shared" si="21"/>
        <v>-0.48576736915714863</v>
      </c>
      <c r="O51" s="14"/>
      <c r="P51" s="1">
        <f>SUM(OSRRefP22_0x_0)</f>
        <v>4659.37</v>
      </c>
      <c r="Q51" s="1"/>
      <c r="R51" s="5">
        <f t="shared" si="22"/>
        <v>7.5942414696824612E-3</v>
      </c>
      <c r="S51" s="1"/>
      <c r="T51" s="1">
        <f>SUM(OSRRefT22_0x_0)</f>
        <v>8488.76</v>
      </c>
      <c r="U51" s="1"/>
      <c r="V51" s="5">
        <f t="shared" si="23"/>
        <v>8.8123062015111574E-3</v>
      </c>
      <c r="W51" s="1"/>
      <c r="X51" s="1">
        <f t="shared" si="24"/>
        <v>-3829.3900000000003</v>
      </c>
      <c r="Y51" s="1"/>
      <c r="Z51" s="5">
        <f t="shared" si="25"/>
        <v>-0.45111300119216474</v>
      </c>
    </row>
    <row r="52" spans="1:26" s="24" customFormat="1" hidden="1" outlineLevel="2" x14ac:dyDescent="0.25">
      <c r="A52" s="28"/>
      <c r="B52" s="11" t="str">
        <f>CONCATENATE("          ", "6111", " - ", "F.I.C.A.")</f>
        <v xml:space="preserve">          6111 - F.I.C.A.</v>
      </c>
      <c r="C52" s="11"/>
      <c r="D52" s="7">
        <v>548.86</v>
      </c>
      <c r="E52" s="2"/>
      <c r="F52" s="6">
        <f t="shared" si="18"/>
        <v>3.1388537607884162E-3</v>
      </c>
      <c r="G52" s="2"/>
      <c r="H52" s="7">
        <v>530.98</v>
      </c>
      <c r="I52" s="2"/>
      <c r="J52" s="6">
        <f t="shared" si="19"/>
        <v>2.0139843291704113E-3</v>
      </c>
      <c r="K52" s="2"/>
      <c r="L52" s="7">
        <f t="shared" si="20"/>
        <v>17.879999999999995</v>
      </c>
      <c r="M52" s="2"/>
      <c r="N52" s="6">
        <f t="shared" si="21"/>
        <v>3.3673584692455447E-2</v>
      </c>
      <c r="O52" s="11"/>
      <c r="P52" s="7">
        <v>1609.1</v>
      </c>
      <c r="Q52" s="2"/>
      <c r="R52" s="6">
        <f t="shared" si="22"/>
        <v>2.6226494030021329E-3</v>
      </c>
      <c r="S52" s="2"/>
      <c r="T52" s="7">
        <v>1569.36</v>
      </c>
      <c r="U52" s="2"/>
      <c r="V52" s="6">
        <f t="shared" si="23"/>
        <v>1.6291756228711319E-3</v>
      </c>
      <c r="W52" s="2"/>
      <c r="X52" s="7">
        <f t="shared" si="24"/>
        <v>39.740000000000009</v>
      </c>
      <c r="Y52" s="2"/>
      <c r="Z52" s="6">
        <f t="shared" si="25"/>
        <v>2.5322424427792228E-2</v>
      </c>
    </row>
    <row r="53" spans="1:26" s="24" customFormat="1" hidden="1" outlineLevel="2" x14ac:dyDescent="0.25">
      <c r="A53" s="28"/>
      <c r="B53" s="11" t="str">
        <f>CONCATENATE("          ", "6112", " - ", "COMPENSATION INSURANCE")</f>
        <v xml:space="preserve">          6112 - COMPENSATION INSURANCE</v>
      </c>
      <c r="C53" s="11"/>
      <c r="D53" s="7">
        <v>135.76</v>
      </c>
      <c r="E53" s="2"/>
      <c r="F53" s="6">
        <f t="shared" si="18"/>
        <v>7.7639249820470675E-4</v>
      </c>
      <c r="G53" s="2"/>
      <c r="H53" s="7">
        <v>168.59</v>
      </c>
      <c r="I53" s="2"/>
      <c r="J53" s="6">
        <f t="shared" si="19"/>
        <v>6.394546273962102E-4</v>
      </c>
      <c r="K53" s="2"/>
      <c r="L53" s="7">
        <f t="shared" si="20"/>
        <v>-32.830000000000013</v>
      </c>
      <c r="M53" s="2"/>
      <c r="N53" s="6">
        <f t="shared" si="21"/>
        <v>-0.1947327836763747</v>
      </c>
      <c r="O53" s="11"/>
      <c r="P53" s="7">
        <v>425.95</v>
      </c>
      <c r="Q53" s="2"/>
      <c r="R53" s="6">
        <f t="shared" si="22"/>
        <v>6.9424989945233886E-4</v>
      </c>
      <c r="S53" s="2"/>
      <c r="T53" s="7">
        <v>312.5</v>
      </c>
      <c r="U53" s="2"/>
      <c r="V53" s="6">
        <f t="shared" si="23"/>
        <v>3.2441083126065961E-4</v>
      </c>
      <c r="W53" s="2"/>
      <c r="X53" s="7">
        <f t="shared" si="24"/>
        <v>113.44999999999999</v>
      </c>
      <c r="Y53" s="2"/>
      <c r="Z53" s="6">
        <f t="shared" si="25"/>
        <v>0.36303999999999997</v>
      </c>
    </row>
    <row r="54" spans="1:26" s="24" customFormat="1" hidden="1" outlineLevel="2" x14ac:dyDescent="0.25">
      <c r="A54" s="28"/>
      <c r="B54" s="11" t="str">
        <f>CONCATENATE("          ", "6113", " - ", "GROUP INSURANCE")</f>
        <v xml:space="preserve">          6113 - GROUP INSURANCE</v>
      </c>
      <c r="C54" s="11"/>
      <c r="D54" s="7">
        <v>194.97</v>
      </c>
      <c r="E54" s="2"/>
      <c r="F54" s="6">
        <f t="shared" si="18"/>
        <v>1.1150062269812294E-3</v>
      </c>
      <c r="G54" s="2"/>
      <c r="H54" s="7">
        <v>1035.69</v>
      </c>
      <c r="I54" s="2"/>
      <c r="J54" s="6">
        <f t="shared" si="19"/>
        <v>3.9283276768964995E-3</v>
      </c>
      <c r="K54" s="2"/>
      <c r="L54" s="7">
        <f t="shared" si="20"/>
        <v>-840.72</v>
      </c>
      <c r="M54" s="2"/>
      <c r="N54" s="6">
        <f t="shared" si="21"/>
        <v>-0.81174868927961064</v>
      </c>
      <c r="O54" s="11"/>
      <c r="P54" s="7">
        <v>1188.8900000000001</v>
      </c>
      <c r="Q54" s="2"/>
      <c r="R54" s="6">
        <f t="shared" si="22"/>
        <v>1.9377550486204748E-3</v>
      </c>
      <c r="S54" s="2"/>
      <c r="T54" s="7">
        <v>3107.07</v>
      </c>
      <c r="U54" s="2"/>
      <c r="V54" s="6">
        <f t="shared" si="23"/>
        <v>3.2254949167521848E-3</v>
      </c>
      <c r="W54" s="2"/>
      <c r="X54" s="7">
        <f t="shared" si="24"/>
        <v>-1918.18</v>
      </c>
      <c r="Y54" s="2"/>
      <c r="Z54" s="6">
        <f t="shared" si="25"/>
        <v>-0.61735976337835963</v>
      </c>
    </row>
    <row r="55" spans="1:26" s="24" customFormat="1" hidden="1" outlineLevel="2" x14ac:dyDescent="0.25">
      <c r="A55" s="28"/>
      <c r="B55" s="11" t="str">
        <f>CONCATENATE("          ", "6114", " - ", "STATE UNEMPLOYMENT INSURANCE")</f>
        <v xml:space="preserve">          6114 - STATE UNEMPLOYMENT INSURANCE</v>
      </c>
      <c r="C55" s="11"/>
      <c r="D55" s="7">
        <v>23.85</v>
      </c>
      <c r="E55" s="2"/>
      <c r="F55" s="6">
        <f t="shared" si="18"/>
        <v>1.3639482234960415E-4</v>
      </c>
      <c r="G55" s="2"/>
      <c r="H55" s="7">
        <v>23.69</v>
      </c>
      <c r="I55" s="2"/>
      <c r="J55" s="6">
        <f t="shared" si="19"/>
        <v>8.9855152280777153E-5</v>
      </c>
      <c r="K55" s="2"/>
      <c r="L55" s="7">
        <f t="shared" si="20"/>
        <v>0.16000000000000014</v>
      </c>
      <c r="M55" s="2"/>
      <c r="N55" s="6">
        <f t="shared" si="21"/>
        <v>6.7539046010975153E-3</v>
      </c>
      <c r="O55" s="11"/>
      <c r="P55" s="7">
        <v>74.83</v>
      </c>
      <c r="Q55" s="2"/>
      <c r="R55" s="6">
        <f t="shared" si="22"/>
        <v>1.2196436195801976E-4</v>
      </c>
      <c r="S55" s="2"/>
      <c r="T55" s="7">
        <v>58.62</v>
      </c>
      <c r="U55" s="2"/>
      <c r="V55" s="6">
        <f t="shared" si="23"/>
        <v>6.0854281371199571E-5</v>
      </c>
      <c r="W55" s="2"/>
      <c r="X55" s="7">
        <f t="shared" si="24"/>
        <v>16.21</v>
      </c>
      <c r="Y55" s="2"/>
      <c r="Z55" s="6">
        <f t="shared" si="25"/>
        <v>0.27652678266803143</v>
      </c>
    </row>
    <row r="56" spans="1:26" s="24" customFormat="1" hidden="1" outlineLevel="2" x14ac:dyDescent="0.25">
      <c r="A56" s="28"/>
      <c r="B56" s="11" t="str">
        <f>CONCATENATE("          ", "6115", " - ", "P.E.R.S.")</f>
        <v xml:space="preserve">          6115 - P.E.R.S.</v>
      </c>
      <c r="C56" s="11"/>
      <c r="D56" s="7">
        <v>99.25</v>
      </c>
      <c r="E56" s="2"/>
      <c r="F56" s="6">
        <f t="shared" si="18"/>
        <v>5.6759690223053298E-4</v>
      </c>
      <c r="G56" s="2"/>
      <c r="H56" s="7">
        <v>176.42</v>
      </c>
      <c r="I56" s="2"/>
      <c r="J56" s="6">
        <f t="shared" si="19"/>
        <v>6.6915348102046025E-4</v>
      </c>
      <c r="K56" s="2"/>
      <c r="L56" s="7">
        <f t="shared" si="20"/>
        <v>-77.169999999999987</v>
      </c>
      <c r="M56" s="2"/>
      <c r="N56" s="6">
        <f t="shared" si="21"/>
        <v>-0.43742206099081732</v>
      </c>
      <c r="O56" s="11"/>
      <c r="P56" s="7">
        <v>332.4</v>
      </c>
      <c r="Q56" s="2"/>
      <c r="R56" s="6">
        <f t="shared" si="22"/>
        <v>5.4177407343105396E-4</v>
      </c>
      <c r="S56" s="2"/>
      <c r="T56" s="7">
        <v>617.47</v>
      </c>
      <c r="U56" s="2"/>
      <c r="V56" s="6">
        <f t="shared" si="23"/>
        <v>6.4100465913126241E-4</v>
      </c>
      <c r="W56" s="2"/>
      <c r="X56" s="7">
        <f t="shared" si="24"/>
        <v>-285.07000000000005</v>
      </c>
      <c r="Y56" s="2"/>
      <c r="Z56" s="6">
        <f t="shared" si="25"/>
        <v>-0.46167425138063395</v>
      </c>
    </row>
    <row r="57" spans="1:26" s="24" customFormat="1" hidden="1" outlineLevel="2" x14ac:dyDescent="0.25">
      <c r="A57" s="28"/>
      <c r="B57" s="11" t="str">
        <f>CONCATENATE("          ", "6117", " - ", "RETIREMENT STAFF HOURLY")</f>
        <v xml:space="preserve">          6117 - RETIREMENT STAFF HOURLY</v>
      </c>
      <c r="C57" s="11"/>
      <c r="D57" s="7">
        <v>60</v>
      </c>
      <c r="E57" s="2"/>
      <c r="F57" s="6">
        <f t="shared" si="18"/>
        <v>3.4313162855246322E-4</v>
      </c>
      <c r="G57" s="2"/>
      <c r="H57" s="7">
        <v>185.73</v>
      </c>
      <c r="I57" s="2"/>
      <c r="J57" s="6">
        <f t="shared" si="19"/>
        <v>7.0446591106410885E-4</v>
      </c>
      <c r="K57" s="2"/>
      <c r="L57" s="7">
        <f t="shared" si="20"/>
        <v>-125.72999999999999</v>
      </c>
      <c r="M57" s="2"/>
      <c r="N57" s="6">
        <f t="shared" si="21"/>
        <v>-0.6769504118882248</v>
      </c>
      <c r="O57" s="11"/>
      <c r="P57" s="7">
        <v>282.7</v>
      </c>
      <c r="Q57" s="2"/>
      <c r="R57" s="6">
        <f t="shared" si="22"/>
        <v>4.6076874416052635E-4</v>
      </c>
      <c r="S57" s="2"/>
      <c r="T57" s="7">
        <v>623.80999999999995</v>
      </c>
      <c r="U57" s="2"/>
      <c r="V57" s="6">
        <f t="shared" si="23"/>
        <v>6.4758630607587853E-4</v>
      </c>
      <c r="W57" s="2"/>
      <c r="X57" s="7">
        <f t="shared" si="24"/>
        <v>-341.10999999999996</v>
      </c>
      <c r="Y57" s="2"/>
      <c r="Z57" s="6">
        <f t="shared" si="25"/>
        <v>-0.5468171398342444</v>
      </c>
    </row>
    <row r="58" spans="1:26" s="24" customFormat="1" hidden="1" outlineLevel="2" x14ac:dyDescent="0.25">
      <c r="A58" s="28"/>
      <c r="B58" s="11" t="str">
        <f>CONCATENATE("          ", "6118", " - ", "VACATION")</f>
        <v xml:space="preserve">          6118 - VACATION</v>
      </c>
      <c r="C58" s="11"/>
      <c r="D58" s="7">
        <v>123.2</v>
      </c>
      <c r="E58" s="2"/>
      <c r="F58" s="6">
        <f t="shared" si="18"/>
        <v>7.0456361062772456E-4</v>
      </c>
      <c r="G58" s="2"/>
      <c r="H58" s="7">
        <v>257.8</v>
      </c>
      <c r="I58" s="2"/>
      <c r="J58" s="6">
        <f t="shared" si="19"/>
        <v>9.7782432494657439E-4</v>
      </c>
      <c r="K58" s="2"/>
      <c r="L58" s="7">
        <f t="shared" si="20"/>
        <v>-134.60000000000002</v>
      </c>
      <c r="M58" s="2"/>
      <c r="N58" s="6">
        <f t="shared" si="21"/>
        <v>-0.52211016291698997</v>
      </c>
      <c r="O58" s="11"/>
      <c r="P58" s="7">
        <v>252.56</v>
      </c>
      <c r="Q58" s="2"/>
      <c r="R58" s="6">
        <f t="shared" si="22"/>
        <v>4.1164398310994887E-4</v>
      </c>
      <c r="S58" s="2"/>
      <c r="T58" s="7">
        <v>773.4</v>
      </c>
      <c r="U58" s="2"/>
      <c r="V58" s="6">
        <f t="shared" si="23"/>
        <v>8.0287787807038118E-4</v>
      </c>
      <c r="W58" s="2"/>
      <c r="X58" s="7">
        <f t="shared" si="24"/>
        <v>-520.83999999999992</v>
      </c>
      <c r="Y58" s="2"/>
      <c r="Z58" s="6">
        <f t="shared" si="25"/>
        <v>-0.673441944659943</v>
      </c>
    </row>
    <row r="59" spans="1:26" s="24" customFormat="1" hidden="1" outlineLevel="2" x14ac:dyDescent="0.25">
      <c r="A59" s="28"/>
      <c r="B59" s="11" t="str">
        <f>CONCATENATE("          ", "6119", " - ", "SICK LEAVE")</f>
        <v xml:space="preserve">          6119 - SICK LEAVE</v>
      </c>
      <c r="C59" s="11"/>
      <c r="D59" s="7">
        <v>147.6</v>
      </c>
      <c r="E59" s="2"/>
      <c r="F59" s="6">
        <f t="shared" si="18"/>
        <v>8.4410380623905947E-4</v>
      </c>
      <c r="G59" s="2"/>
      <c r="H59" s="7">
        <v>256.57</v>
      </c>
      <c r="I59" s="2"/>
      <c r="J59" s="6">
        <f t="shared" si="19"/>
        <v>9.7315898778720935E-4</v>
      </c>
      <c r="K59" s="2"/>
      <c r="L59" s="7">
        <f t="shared" si="20"/>
        <v>-108.97</v>
      </c>
      <c r="M59" s="2"/>
      <c r="N59" s="6">
        <f t="shared" si="21"/>
        <v>-0.42471840043652803</v>
      </c>
      <c r="O59" s="11"/>
      <c r="P59" s="7">
        <v>302.58</v>
      </c>
      <c r="Q59" s="2"/>
      <c r="R59" s="6">
        <f t="shared" si="22"/>
        <v>4.9317087586873737E-4</v>
      </c>
      <c r="S59" s="2"/>
      <c r="T59" s="7">
        <v>769.71</v>
      </c>
      <c r="U59" s="2"/>
      <c r="V59" s="6">
        <f t="shared" si="23"/>
        <v>7.9904723497485543E-4</v>
      </c>
      <c r="W59" s="2"/>
      <c r="X59" s="7">
        <f t="shared" si="24"/>
        <v>-467.13000000000005</v>
      </c>
      <c r="Y59" s="2"/>
      <c r="Z59" s="6">
        <f t="shared" si="25"/>
        <v>-0.60689090696496084</v>
      </c>
    </row>
    <row r="60" spans="1:26" s="24" customFormat="1" hidden="1" outlineLevel="2" x14ac:dyDescent="0.25">
      <c r="A60" s="28"/>
      <c r="B60" s="11" t="str">
        <f>CONCATENATE("          ", "6156", " - ", "EMPLOYEE MEALS")</f>
        <v xml:space="preserve">          6156 - EMPLOYEE MEALS</v>
      </c>
      <c r="C60" s="11"/>
      <c r="D60" s="7">
        <v>166.65</v>
      </c>
      <c r="E60" s="2"/>
      <c r="F60" s="6">
        <f t="shared" si="18"/>
        <v>9.5304809830446663E-4</v>
      </c>
      <c r="G60" s="2"/>
      <c r="H60" s="7">
        <v>281.77</v>
      </c>
      <c r="I60" s="2"/>
      <c r="J60" s="6">
        <f t="shared" si="19"/>
        <v>1.0687415051985889E-3</v>
      </c>
      <c r="K60" s="2"/>
      <c r="L60" s="7">
        <f t="shared" si="20"/>
        <v>-115.11999999999998</v>
      </c>
      <c r="M60" s="2"/>
      <c r="N60" s="6">
        <f t="shared" si="21"/>
        <v>-0.40856017319090032</v>
      </c>
      <c r="O60" s="11"/>
      <c r="P60" s="7">
        <v>190.36</v>
      </c>
      <c r="Q60" s="2"/>
      <c r="R60" s="6">
        <f t="shared" si="22"/>
        <v>3.1026508007922819E-4</v>
      </c>
      <c r="S60" s="2"/>
      <c r="T60" s="7">
        <v>656.82</v>
      </c>
      <c r="U60" s="2"/>
      <c r="V60" s="6">
        <f t="shared" si="23"/>
        <v>6.8185447100360468E-4</v>
      </c>
      <c r="W60" s="2"/>
      <c r="X60" s="7">
        <f t="shared" si="24"/>
        <v>-466.46000000000004</v>
      </c>
      <c r="Y60" s="2"/>
      <c r="Z60" s="6">
        <f t="shared" si="25"/>
        <v>-0.71017934898450108</v>
      </c>
    </row>
    <row r="61" spans="1:26" s="27" customFormat="1" outlineLevel="1" collapsed="1" x14ac:dyDescent="0.25">
      <c r="A61" s="29"/>
      <c r="B61" s="14" t="str">
        <f>CONCATENATE("     ","*Payroll                                          ")</f>
        <v xml:space="preserve">     *Payroll                                          </v>
      </c>
      <c r="C61" s="14"/>
      <c r="D61" s="1">
        <f>SUM(OSRRefD22_1x_0)</f>
        <v>9752.59</v>
      </c>
      <c r="E61" s="1"/>
      <c r="F61" s="5">
        <f t="shared" ref="F61:F66" si="26">IF(D$12=0,0,D61/D$12)</f>
        <v>5.5773701488407788E-2</v>
      </c>
      <c r="G61" s="1"/>
      <c r="H61" s="1">
        <f>SUM(OSRRefH22_1x_0)</f>
        <v>7451.68</v>
      </c>
      <c r="I61" s="1"/>
      <c r="J61" s="5">
        <f t="shared" ref="J61:J66" si="27">IF(H$12=0,0,H61/H$12)</f>
        <v>2.826390211682657E-2</v>
      </c>
      <c r="K61" s="1"/>
      <c r="L61" s="1">
        <f t="shared" ref="L61:L66" si="28">+D61-H61</f>
        <v>2300.91</v>
      </c>
      <c r="M61" s="1"/>
      <c r="N61" s="5">
        <f t="shared" ref="N61:N66" si="29">IF(H61=0,0,L61/H61)</f>
        <v>0.30877734953728553</v>
      </c>
      <c r="O61" s="14"/>
      <c r="P61" s="1">
        <f>SUM(OSRRefP22_1x_0)</f>
        <v>29628.46</v>
      </c>
      <c r="Q61" s="1"/>
      <c r="R61" s="5">
        <f t="shared" ref="R61:R66" si="30">IF(P$12=0,0,P61/P$12)</f>
        <v>4.8291009216874382E-2</v>
      </c>
      <c r="S61" s="1"/>
      <c r="T61" s="1">
        <f>SUM(OSRRefT22_1x_0)</f>
        <v>23259.17</v>
      </c>
      <c r="U61" s="1"/>
      <c r="V61" s="5">
        <f t="shared" ref="V61:V66" si="31">IF(T$12=0,0,T61/T$12)</f>
        <v>2.4145685357225586E-2</v>
      </c>
      <c r="W61" s="1"/>
      <c r="X61" s="1">
        <f t="shared" ref="X61:X66" si="32">+P61-T61</f>
        <v>6369.2900000000009</v>
      </c>
      <c r="Y61" s="1"/>
      <c r="Z61" s="5">
        <f t="shared" ref="Z61:Z66" si="33">IF(T61=0,0,X61/T61)</f>
        <v>0.27383995215650436</v>
      </c>
    </row>
    <row r="62" spans="1:26" s="24" customFormat="1" hidden="1" outlineLevel="2" x14ac:dyDescent="0.25">
      <c r="A62" s="28"/>
      <c r="B62" s="11" t="str">
        <f>CONCATENATE("          ", "6002", " - ", "STAFF SALARIES")</f>
        <v xml:space="preserve">          6002 - STAFF SALARIES</v>
      </c>
      <c r="C62" s="11"/>
      <c r="D62" s="7">
        <v>1307.7</v>
      </c>
      <c r="E62" s="2"/>
      <c r="F62" s="6">
        <f t="shared" si="26"/>
        <v>7.4785538443009362E-3</v>
      </c>
      <c r="G62" s="2"/>
      <c r="H62" s="7">
        <v>2282.3000000000002</v>
      </c>
      <c r="I62" s="2"/>
      <c r="J62" s="6">
        <f t="shared" si="27"/>
        <v>8.6566658526980866E-3</v>
      </c>
      <c r="K62" s="2"/>
      <c r="L62" s="7">
        <f t="shared" si="28"/>
        <v>-974.60000000000014</v>
      </c>
      <c r="M62" s="2"/>
      <c r="N62" s="6">
        <f t="shared" si="29"/>
        <v>-0.42702536914516059</v>
      </c>
      <c r="O62" s="11"/>
      <c r="P62" s="7">
        <v>7402.32</v>
      </c>
      <c r="Q62" s="2"/>
      <c r="R62" s="6">
        <f t="shared" si="30"/>
        <v>1.2064937001324187E-2</v>
      </c>
      <c r="S62" s="2"/>
      <c r="T62" s="7">
        <v>6961.44</v>
      </c>
      <c r="U62" s="2"/>
      <c r="V62" s="6">
        <f t="shared" si="31"/>
        <v>7.226772918947859E-3</v>
      </c>
      <c r="W62" s="2"/>
      <c r="X62" s="7">
        <f t="shared" si="32"/>
        <v>440.88000000000011</v>
      </c>
      <c r="Y62" s="2"/>
      <c r="Z62" s="6">
        <f t="shared" si="33"/>
        <v>6.3331724470799169E-2</v>
      </c>
    </row>
    <row r="63" spans="1:26" s="24" customFormat="1" hidden="1" outlineLevel="2" x14ac:dyDescent="0.25">
      <c r="A63" s="28"/>
      <c r="B63" s="11" t="str">
        <f>CONCATENATE("          ", "6004", " - ", "STAFF HOURLY")</f>
        <v xml:space="preserve">          6004 - STAFF HOURLY</v>
      </c>
      <c r="C63" s="11"/>
      <c r="D63" s="7">
        <v>3890.2</v>
      </c>
      <c r="E63" s="2"/>
      <c r="F63" s="6">
        <f t="shared" si="26"/>
        <v>2.2247511023246541E-2</v>
      </c>
      <c r="G63" s="2"/>
      <c r="H63" s="7">
        <v>3714.5</v>
      </c>
      <c r="I63" s="2"/>
      <c r="J63" s="6">
        <f t="shared" si="27"/>
        <v>1.4088938925578163E-2</v>
      </c>
      <c r="K63" s="2"/>
      <c r="L63" s="7">
        <f t="shared" si="28"/>
        <v>175.69999999999982</v>
      </c>
      <c r="M63" s="2"/>
      <c r="N63" s="6">
        <f t="shared" si="29"/>
        <v>4.7301117243235921E-2</v>
      </c>
      <c r="O63" s="11"/>
      <c r="P63" s="7">
        <v>5610.03</v>
      </c>
      <c r="Q63" s="2"/>
      <c r="R63" s="6">
        <f t="shared" si="30"/>
        <v>9.1437088001516727E-3</v>
      </c>
      <c r="S63" s="2"/>
      <c r="T63" s="7">
        <v>10549.21</v>
      </c>
      <c r="U63" s="2"/>
      <c r="V63" s="6">
        <f t="shared" si="31"/>
        <v>1.0951289552778441E-2</v>
      </c>
      <c r="W63" s="2"/>
      <c r="X63" s="7">
        <f t="shared" si="32"/>
        <v>-4939.1799999999994</v>
      </c>
      <c r="Y63" s="2"/>
      <c r="Z63" s="6">
        <f t="shared" si="33"/>
        <v>-0.46820378018827946</v>
      </c>
    </row>
    <row r="64" spans="1:26" s="24" customFormat="1" hidden="1" outlineLevel="2" x14ac:dyDescent="0.25">
      <c r="A64" s="28"/>
      <c r="B64" s="11" t="str">
        <f>CONCATENATE("          ", "6005", " - ", "TEMPORARY WAGES-HOURLY")</f>
        <v xml:space="preserve">          6005 - TEMPORARY WAGES-HOURLY</v>
      </c>
      <c r="C64" s="11"/>
      <c r="D64" s="7">
        <v>1425.28</v>
      </c>
      <c r="E64" s="2"/>
      <c r="F64" s="6">
        <f t="shared" si="26"/>
        <v>8.1509774590542462E-3</v>
      </c>
      <c r="G64" s="2"/>
      <c r="H64" s="7"/>
      <c r="I64" s="2"/>
      <c r="J64" s="6">
        <f t="shared" si="27"/>
        <v>0</v>
      </c>
      <c r="K64" s="2"/>
      <c r="L64" s="7">
        <f t="shared" si="28"/>
        <v>1425.28</v>
      </c>
      <c r="M64" s="2"/>
      <c r="N64" s="6">
        <f t="shared" si="29"/>
        <v>0</v>
      </c>
      <c r="O64" s="11"/>
      <c r="P64" s="7">
        <v>1425.28</v>
      </c>
      <c r="Q64" s="2"/>
      <c r="R64" s="6">
        <f t="shared" si="30"/>
        <v>2.323043776714238E-3</v>
      </c>
      <c r="S64" s="2"/>
      <c r="T64" s="7"/>
      <c r="U64" s="2"/>
      <c r="V64" s="6">
        <f t="shared" si="31"/>
        <v>0</v>
      </c>
      <c r="W64" s="2"/>
      <c r="X64" s="7">
        <f t="shared" si="32"/>
        <v>1425.28</v>
      </c>
      <c r="Y64" s="2"/>
      <c r="Z64" s="6">
        <f t="shared" si="33"/>
        <v>0</v>
      </c>
    </row>
    <row r="65" spans="1:26" s="24" customFormat="1" hidden="1" outlineLevel="2" x14ac:dyDescent="0.25">
      <c r="A65" s="28"/>
      <c r="B65" s="11" t="str">
        <f>CONCATENATE("          ", "6007", " - ", "STUDENT HOURLY")</f>
        <v xml:space="preserve">          6007 - STUDENT HOURLY</v>
      </c>
      <c r="C65" s="11"/>
      <c r="D65" s="7">
        <v>1992.89</v>
      </c>
      <c r="E65" s="2"/>
      <c r="F65" s="6">
        <f t="shared" si="26"/>
        <v>1.1397059853765308E-2</v>
      </c>
      <c r="G65" s="2"/>
      <c r="H65" s="7">
        <v>1454.88</v>
      </c>
      <c r="I65" s="2"/>
      <c r="J65" s="6">
        <f t="shared" si="27"/>
        <v>5.518297338550319E-3</v>
      </c>
      <c r="K65" s="2"/>
      <c r="L65" s="7">
        <f t="shared" si="28"/>
        <v>538.01</v>
      </c>
      <c r="M65" s="2"/>
      <c r="N65" s="6">
        <f t="shared" si="29"/>
        <v>0.36979682173100181</v>
      </c>
      <c r="O65" s="11"/>
      <c r="P65" s="7">
        <v>12896.76</v>
      </c>
      <c r="Q65" s="2"/>
      <c r="R65" s="6">
        <f t="shared" si="30"/>
        <v>2.1020247290200602E-2</v>
      </c>
      <c r="S65" s="2"/>
      <c r="T65" s="7">
        <v>5748.52</v>
      </c>
      <c r="U65" s="2"/>
      <c r="V65" s="6">
        <f t="shared" si="31"/>
        <v>5.9676228854992864E-3</v>
      </c>
      <c r="W65" s="2"/>
      <c r="X65" s="7">
        <f t="shared" si="32"/>
        <v>7148.24</v>
      </c>
      <c r="Y65" s="2"/>
      <c r="Z65" s="6">
        <f t="shared" si="33"/>
        <v>1.2434922380021292</v>
      </c>
    </row>
    <row r="66" spans="1:26" s="24" customFormat="1" hidden="1" outlineLevel="2" x14ac:dyDescent="0.25">
      <c r="A66" s="28"/>
      <c r="B66" s="11" t="str">
        <f>CONCATENATE("          ", "6008", " - ", "STUDENT HOURLY-FICA EXEMPT")</f>
        <v xml:space="preserve">          6008 - STUDENT HOURLY-FICA EXEMPT</v>
      </c>
      <c r="C66" s="11"/>
      <c r="D66" s="7">
        <v>1136.52</v>
      </c>
      <c r="E66" s="2"/>
      <c r="F66" s="6">
        <f t="shared" si="26"/>
        <v>6.4995993080407587E-3</v>
      </c>
      <c r="G66" s="2"/>
      <c r="H66" s="7"/>
      <c r="I66" s="2"/>
      <c r="J66" s="6">
        <f t="shared" si="27"/>
        <v>0</v>
      </c>
      <c r="K66" s="2"/>
      <c r="L66" s="7">
        <f t="shared" si="28"/>
        <v>1136.52</v>
      </c>
      <c r="M66" s="2"/>
      <c r="N66" s="6">
        <f t="shared" si="29"/>
        <v>0</v>
      </c>
      <c r="O66" s="11"/>
      <c r="P66" s="7">
        <v>2294.0700000000002</v>
      </c>
      <c r="Q66" s="2"/>
      <c r="R66" s="6">
        <f t="shared" si="30"/>
        <v>3.7390723484836889E-3</v>
      </c>
      <c r="S66" s="2"/>
      <c r="T66" s="7"/>
      <c r="U66" s="2"/>
      <c r="V66" s="6">
        <f t="shared" si="31"/>
        <v>0</v>
      </c>
      <c r="W66" s="2"/>
      <c r="X66" s="7">
        <f t="shared" si="32"/>
        <v>2294.0700000000002</v>
      </c>
      <c r="Y66" s="2"/>
      <c r="Z66" s="6">
        <f t="shared" si="33"/>
        <v>0</v>
      </c>
    </row>
    <row r="67" spans="1:26" s="27" customFormat="1" outlineLevel="1" collapsed="1" x14ac:dyDescent="0.25">
      <c r="A67" s="29"/>
      <c r="B67" s="14" t="str">
        <f>CONCATENATE("     ","Advertising/Promo                                 ")</f>
        <v xml:space="preserve">     Advertising/Promo                                 </v>
      </c>
      <c r="C67" s="14"/>
      <c r="D67" s="1">
        <f>SUM(OSRRefD22_2x_0)</f>
        <v>19.850000000000001</v>
      </c>
      <c r="E67" s="1"/>
      <c r="F67" s="5">
        <f t="shared" ref="F67:F75" si="34">IF(D$12=0,0,D67/D$12)</f>
        <v>1.1351938044610659E-4</v>
      </c>
      <c r="G67" s="1"/>
      <c r="H67" s="1">
        <f>SUM(OSRRefH22_2x_0)</f>
        <v>0</v>
      </c>
      <c r="I67" s="1"/>
      <c r="J67" s="5">
        <f t="shared" ref="J67:J75" si="35">IF(H$12=0,0,H67/H$12)</f>
        <v>0</v>
      </c>
      <c r="K67" s="1"/>
      <c r="L67" s="1">
        <f t="shared" ref="L67:L75" si="36">+D67-H67</f>
        <v>19.850000000000001</v>
      </c>
      <c r="M67" s="1"/>
      <c r="N67" s="5">
        <f t="shared" ref="N67:N75" si="37">IF(H67=0,0,L67/H67)</f>
        <v>0</v>
      </c>
      <c r="O67" s="14"/>
      <c r="P67" s="1">
        <f>SUM(OSRRefP22_2x_0)</f>
        <v>104.89</v>
      </c>
      <c r="Q67" s="1"/>
      <c r="R67" s="5">
        <f t="shared" ref="R67:R75" si="38">IF(P$12=0,0,P67/P$12)</f>
        <v>1.7095873213653206E-4</v>
      </c>
      <c r="S67" s="1"/>
      <c r="T67" s="1">
        <f>SUM(OSRRefT22_2x_0)</f>
        <v>248.88</v>
      </c>
      <c r="U67" s="1"/>
      <c r="V67" s="5">
        <f t="shared" ref="V67:V75" si="39">IF(T$12=0,0,T67/T$12)</f>
        <v>2.5836597658928945E-4</v>
      </c>
      <c r="W67" s="1"/>
      <c r="X67" s="1">
        <f t="shared" ref="X67:X75" si="40">+P67-T67</f>
        <v>-143.99</v>
      </c>
      <c r="Y67" s="1"/>
      <c r="Z67" s="5">
        <f t="shared" ref="Z67:Z75" si="41">IF(T67=0,0,X67/T67)</f>
        <v>-0.57855191256830607</v>
      </c>
    </row>
    <row r="68" spans="1:26" s="24" customFormat="1" hidden="1" outlineLevel="2" x14ac:dyDescent="0.25">
      <c r="A68" s="28"/>
      <c r="B68" s="11" t="str">
        <f>CONCATENATE("          ", "6362", " - ", "ADVERTISING EXPENSE")</f>
        <v xml:space="preserve">          6362 - ADVERTISING EXPENSE</v>
      </c>
      <c r="C68" s="11"/>
      <c r="D68" s="7">
        <v>19.850000000000001</v>
      </c>
      <c r="E68" s="2"/>
      <c r="F68" s="6">
        <f t="shared" si="34"/>
        <v>1.1351938044610659E-4</v>
      </c>
      <c r="G68" s="2"/>
      <c r="H68" s="7"/>
      <c r="I68" s="2"/>
      <c r="J68" s="6">
        <f t="shared" si="35"/>
        <v>0</v>
      </c>
      <c r="K68" s="2"/>
      <c r="L68" s="7">
        <f t="shared" si="36"/>
        <v>19.850000000000001</v>
      </c>
      <c r="M68" s="2"/>
      <c r="N68" s="6">
        <f t="shared" si="37"/>
        <v>0</v>
      </c>
      <c r="O68" s="11"/>
      <c r="P68" s="7">
        <v>104.89</v>
      </c>
      <c r="Q68" s="2"/>
      <c r="R68" s="6">
        <f t="shared" si="38"/>
        <v>1.7095873213653206E-4</v>
      </c>
      <c r="S68" s="2"/>
      <c r="T68" s="7">
        <v>248.88</v>
      </c>
      <c r="U68" s="2"/>
      <c r="V68" s="6">
        <f t="shared" si="39"/>
        <v>2.5836597658928945E-4</v>
      </c>
      <c r="W68" s="2"/>
      <c r="X68" s="7">
        <f t="shared" si="40"/>
        <v>-143.99</v>
      </c>
      <c r="Y68" s="2"/>
      <c r="Z68" s="6">
        <f t="shared" si="41"/>
        <v>-0.57855191256830607</v>
      </c>
    </row>
    <row r="69" spans="1:26" s="27" customFormat="1" outlineLevel="1" collapsed="1" x14ac:dyDescent="0.25">
      <c r="A69" s="29"/>
      <c r="B69" s="14" t="str">
        <f>CONCATENATE("     ","Depreciation                                      ")</f>
        <v xml:space="preserve">     Depreciation                                      </v>
      </c>
      <c r="C69" s="14"/>
      <c r="D69" s="1">
        <f>SUM(OSRRefD22_3x_0)</f>
        <v>280.44</v>
      </c>
      <c r="E69" s="1"/>
      <c r="F69" s="5">
        <f t="shared" si="34"/>
        <v>1.6037972318542133E-3</v>
      </c>
      <c r="G69" s="1"/>
      <c r="H69" s="1">
        <f>SUM(OSRRefH22_3x_0)</f>
        <v>280.44</v>
      </c>
      <c r="I69" s="1"/>
      <c r="J69" s="5">
        <f t="shared" si="35"/>
        <v>1.0636968723352106E-3</v>
      </c>
      <c r="K69" s="1"/>
      <c r="L69" s="1">
        <f t="shared" si="36"/>
        <v>0</v>
      </c>
      <c r="M69" s="1"/>
      <c r="N69" s="5">
        <f t="shared" si="37"/>
        <v>0</v>
      </c>
      <c r="O69" s="14"/>
      <c r="P69" s="1">
        <f>SUM(OSRRefP22_3x_0)</f>
        <v>841.32</v>
      </c>
      <c r="Q69" s="1"/>
      <c r="R69" s="5">
        <f t="shared" si="38"/>
        <v>1.3712556060740506E-3</v>
      </c>
      <c r="S69" s="1"/>
      <c r="T69" s="1">
        <f>SUM(OSRRefT22_3x_0)</f>
        <v>841.32</v>
      </c>
      <c r="U69" s="1"/>
      <c r="V69" s="5">
        <f t="shared" si="39"/>
        <v>8.7338662577989804E-4</v>
      </c>
      <c r="W69" s="1"/>
      <c r="X69" s="1">
        <f t="shared" si="40"/>
        <v>0</v>
      </c>
      <c r="Y69" s="1"/>
      <c r="Z69" s="5">
        <f t="shared" si="41"/>
        <v>0</v>
      </c>
    </row>
    <row r="70" spans="1:26" s="24" customFormat="1" hidden="1" outlineLevel="2" x14ac:dyDescent="0.25">
      <c r="A70" s="28"/>
      <c r="B70" s="11" t="str">
        <f>CONCATENATE("          ", "6322", " - ", "EQUIPMENT DEPRECIATION EXPENSE")</f>
        <v xml:space="preserve">          6322 - EQUIPMENT DEPRECIATION EXPENSE</v>
      </c>
      <c r="C70" s="11"/>
      <c r="D70" s="7">
        <v>280.44</v>
      </c>
      <c r="E70" s="2"/>
      <c r="F70" s="6">
        <f t="shared" si="34"/>
        <v>1.6037972318542133E-3</v>
      </c>
      <c r="G70" s="2"/>
      <c r="H70" s="7">
        <v>280.44</v>
      </c>
      <c r="I70" s="2"/>
      <c r="J70" s="6">
        <f t="shared" si="35"/>
        <v>1.0636968723352106E-3</v>
      </c>
      <c r="K70" s="2"/>
      <c r="L70" s="7">
        <f t="shared" si="36"/>
        <v>0</v>
      </c>
      <c r="M70" s="2"/>
      <c r="N70" s="6">
        <f t="shared" si="37"/>
        <v>0</v>
      </c>
      <c r="O70" s="11"/>
      <c r="P70" s="7">
        <v>841.32</v>
      </c>
      <c r="Q70" s="2"/>
      <c r="R70" s="6">
        <f t="shared" si="38"/>
        <v>1.3712556060740506E-3</v>
      </c>
      <c r="S70" s="2"/>
      <c r="T70" s="7">
        <v>841.32</v>
      </c>
      <c r="U70" s="2"/>
      <c r="V70" s="6">
        <f t="shared" si="39"/>
        <v>8.7338662577989804E-4</v>
      </c>
      <c r="W70" s="2"/>
      <c r="X70" s="7">
        <f t="shared" si="40"/>
        <v>0</v>
      </c>
      <c r="Y70" s="2"/>
      <c r="Z70" s="6">
        <f t="shared" si="41"/>
        <v>0</v>
      </c>
    </row>
    <row r="71" spans="1:26" s="27" customFormat="1" outlineLevel="1" collapsed="1" x14ac:dyDescent="0.25">
      <c r="A71" s="29"/>
      <c r="B71" s="14" t="str">
        <f>CONCATENATE("     ","Discounts and Markdowns                           ")</f>
        <v xml:space="preserve">     Discounts and Markdowns                           </v>
      </c>
      <c r="C71" s="14"/>
      <c r="D71" s="1">
        <f>SUM(OSRRefD22_4x_0)</f>
        <v>0</v>
      </c>
      <c r="E71" s="1"/>
      <c r="F71" s="5">
        <f t="shared" si="34"/>
        <v>0</v>
      </c>
      <c r="G71" s="1"/>
      <c r="H71" s="1">
        <f>SUM(OSRRefH22_4x_0)</f>
        <v>0</v>
      </c>
      <c r="I71" s="1"/>
      <c r="J71" s="5">
        <f t="shared" si="35"/>
        <v>0</v>
      </c>
      <c r="K71" s="1"/>
      <c r="L71" s="1">
        <f t="shared" si="36"/>
        <v>0</v>
      </c>
      <c r="M71" s="1"/>
      <c r="N71" s="5">
        <f t="shared" si="37"/>
        <v>0</v>
      </c>
      <c r="O71" s="14"/>
      <c r="P71" s="1">
        <f>SUM(OSRRefP22_4x_0)</f>
        <v>0</v>
      </c>
      <c r="Q71" s="1"/>
      <c r="R71" s="5">
        <f t="shared" si="38"/>
        <v>0</v>
      </c>
      <c r="S71" s="1"/>
      <c r="T71" s="1">
        <f>SUM(OSRRefT22_4x_0)</f>
        <v>0</v>
      </c>
      <c r="U71" s="1"/>
      <c r="V71" s="5">
        <f t="shared" si="39"/>
        <v>0</v>
      </c>
      <c r="W71" s="1"/>
      <c r="X71" s="1">
        <f t="shared" si="40"/>
        <v>0</v>
      </c>
      <c r="Y71" s="1"/>
      <c r="Z71" s="5">
        <f t="shared" si="41"/>
        <v>0</v>
      </c>
    </row>
    <row r="72" spans="1:26" s="24" customFormat="1" hidden="1" outlineLevel="2" x14ac:dyDescent="0.25">
      <c r="A72" s="28"/>
      <c r="B72" s="11" t="str">
        <f>CONCATENATE("          ", "6382", " - ", "DISCOUNTS/MARK DOWNS")</f>
        <v xml:space="preserve">          6382 - DISCOUNTS/MARK DOWNS</v>
      </c>
      <c r="C72" s="11"/>
      <c r="D72" s="7"/>
      <c r="E72" s="2"/>
      <c r="F72" s="6">
        <f t="shared" si="34"/>
        <v>0</v>
      </c>
      <c r="G72" s="2"/>
      <c r="H72" s="7">
        <v>0</v>
      </c>
      <c r="I72" s="2"/>
      <c r="J72" s="6">
        <f t="shared" si="35"/>
        <v>0</v>
      </c>
      <c r="K72" s="2"/>
      <c r="L72" s="7">
        <f t="shared" si="36"/>
        <v>0</v>
      </c>
      <c r="M72" s="2"/>
      <c r="N72" s="6">
        <f t="shared" si="37"/>
        <v>0</v>
      </c>
      <c r="O72" s="11"/>
      <c r="P72" s="7"/>
      <c r="Q72" s="2"/>
      <c r="R72" s="6">
        <f t="shared" si="38"/>
        <v>0</v>
      </c>
      <c r="S72" s="2"/>
      <c r="T72" s="7">
        <v>0</v>
      </c>
      <c r="U72" s="2"/>
      <c r="V72" s="6">
        <f t="shared" si="39"/>
        <v>0</v>
      </c>
      <c r="W72" s="2"/>
      <c r="X72" s="7">
        <f t="shared" si="40"/>
        <v>0</v>
      </c>
      <c r="Y72" s="2"/>
      <c r="Z72" s="6">
        <f t="shared" si="41"/>
        <v>0</v>
      </c>
    </row>
    <row r="73" spans="1:26" s="27" customFormat="1" outlineLevel="1" collapsed="1" x14ac:dyDescent="0.25">
      <c r="A73" s="29"/>
      <c r="B73" s="14" t="str">
        <f>CONCATENATE("     ","Freight out/Postage                               ")</f>
        <v xml:space="preserve">     Freight out/Postage                               </v>
      </c>
      <c r="C73" s="14"/>
      <c r="D73" s="1">
        <f>SUM(OSRRefD22_5x_0)</f>
        <v>23.18</v>
      </c>
      <c r="E73" s="1"/>
      <c r="F73" s="5">
        <f t="shared" si="34"/>
        <v>1.3256318583076829E-4</v>
      </c>
      <c r="G73" s="1"/>
      <c r="H73" s="1">
        <f>SUM(OSRRefH22_5x_0)</f>
        <v>87.509999999999991</v>
      </c>
      <c r="I73" s="1"/>
      <c r="J73" s="5">
        <f t="shared" si="35"/>
        <v>3.319216705821362E-4</v>
      </c>
      <c r="K73" s="1"/>
      <c r="L73" s="1">
        <f t="shared" si="36"/>
        <v>-64.329999999999984</v>
      </c>
      <c r="M73" s="1"/>
      <c r="N73" s="5">
        <f t="shared" si="37"/>
        <v>-0.73511598674437195</v>
      </c>
      <c r="O73" s="14"/>
      <c r="P73" s="1">
        <f>SUM(OSRRefP22_5x_0)</f>
        <v>116.37</v>
      </c>
      <c r="Q73" s="1"/>
      <c r="R73" s="5">
        <f t="shared" si="38"/>
        <v>1.8966982227789337E-4</v>
      </c>
      <c r="S73" s="1"/>
      <c r="T73" s="1">
        <f>SUM(OSRRefT22_5x_0)</f>
        <v>277.26000000000005</v>
      </c>
      <c r="U73" s="1"/>
      <c r="V73" s="5">
        <f t="shared" si="39"/>
        <v>2.878276706410576E-4</v>
      </c>
      <c r="W73" s="1"/>
      <c r="X73" s="1">
        <f t="shared" si="40"/>
        <v>-160.89000000000004</v>
      </c>
      <c r="Y73" s="1"/>
      <c r="Z73" s="5">
        <f t="shared" si="41"/>
        <v>-0.58028565245617836</v>
      </c>
    </row>
    <row r="74" spans="1:26" s="24" customFormat="1" hidden="1" outlineLevel="2" x14ac:dyDescent="0.25">
      <c r="A74" s="28"/>
      <c r="B74" s="11" t="str">
        <f>CONCATENATE("          ", "6305", " - ", "FREIGHT OUT")</f>
        <v xml:space="preserve">          6305 - FREIGHT OUT</v>
      </c>
      <c r="C74" s="11"/>
      <c r="D74" s="7">
        <v>23.18</v>
      </c>
      <c r="E74" s="2"/>
      <c r="F74" s="6">
        <f t="shared" si="34"/>
        <v>1.3256318583076829E-4</v>
      </c>
      <c r="G74" s="2"/>
      <c r="H74" s="7">
        <v>83.71</v>
      </c>
      <c r="I74" s="2"/>
      <c r="J74" s="6">
        <f t="shared" si="35"/>
        <v>3.1750843382962661E-4</v>
      </c>
      <c r="K74" s="2"/>
      <c r="L74" s="7">
        <f t="shared" si="36"/>
        <v>-60.529999999999994</v>
      </c>
      <c r="M74" s="2"/>
      <c r="N74" s="6">
        <f t="shared" si="37"/>
        <v>-0.72309162585115272</v>
      </c>
      <c r="O74" s="11"/>
      <c r="P74" s="7">
        <v>116.37</v>
      </c>
      <c r="Q74" s="2"/>
      <c r="R74" s="6">
        <f t="shared" si="38"/>
        <v>1.8966982227789337E-4</v>
      </c>
      <c r="S74" s="2"/>
      <c r="T74" s="7">
        <v>264.66000000000003</v>
      </c>
      <c r="U74" s="2"/>
      <c r="V74" s="6">
        <f t="shared" si="39"/>
        <v>2.7474742592462775E-4</v>
      </c>
      <c r="W74" s="2"/>
      <c r="X74" s="7">
        <f t="shared" si="40"/>
        <v>-148.29000000000002</v>
      </c>
      <c r="Y74" s="2"/>
      <c r="Z74" s="6">
        <f t="shared" si="41"/>
        <v>-0.56030378598957153</v>
      </c>
    </row>
    <row r="75" spans="1:26" s="24" customFormat="1" hidden="1" outlineLevel="2" x14ac:dyDescent="0.25">
      <c r="A75" s="28"/>
      <c r="B75" s="11" t="str">
        <f>CONCATENATE("          ", "6307", " - ", "POSTAGE")</f>
        <v xml:space="preserve">          6307 - POSTAGE</v>
      </c>
      <c r="C75" s="11"/>
      <c r="D75" s="7"/>
      <c r="E75" s="2"/>
      <c r="F75" s="6">
        <f t="shared" si="34"/>
        <v>0</v>
      </c>
      <c r="G75" s="2"/>
      <c r="H75" s="7">
        <v>3.8</v>
      </c>
      <c r="I75" s="2"/>
      <c r="J75" s="6">
        <f t="shared" si="35"/>
        <v>1.441323675250963E-5</v>
      </c>
      <c r="K75" s="2"/>
      <c r="L75" s="7">
        <f t="shared" si="36"/>
        <v>-3.8</v>
      </c>
      <c r="M75" s="2"/>
      <c r="N75" s="6">
        <f t="shared" si="37"/>
        <v>-1</v>
      </c>
      <c r="O75" s="11"/>
      <c r="P75" s="7"/>
      <c r="Q75" s="2"/>
      <c r="R75" s="6">
        <f t="shared" si="38"/>
        <v>0</v>
      </c>
      <c r="S75" s="2"/>
      <c r="T75" s="7">
        <v>12.6</v>
      </c>
      <c r="U75" s="2"/>
      <c r="V75" s="6">
        <f t="shared" si="39"/>
        <v>1.3080244716429795E-5</v>
      </c>
      <c r="W75" s="2"/>
      <c r="X75" s="7">
        <f t="shared" si="40"/>
        <v>-12.6</v>
      </c>
      <c r="Y75" s="2"/>
      <c r="Z75" s="6">
        <f t="shared" si="41"/>
        <v>-1</v>
      </c>
    </row>
    <row r="76" spans="1:26" s="27" customFormat="1" outlineLevel="1" collapsed="1" x14ac:dyDescent="0.25">
      <c r="A76" s="29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SUM(OSRRefD22_6x_0)</f>
        <v>0</v>
      </c>
      <c r="E76" s="1"/>
      <c r="F76" s="5">
        <f t="shared" ref="F76:F83" si="42">IF(D$12=0,0,D76/D$12)</f>
        <v>0</v>
      </c>
      <c r="G76" s="1"/>
      <c r="H76" s="1">
        <f>SUM(OSRRefH22_6x_0)</f>
        <v>0</v>
      </c>
      <c r="I76" s="1"/>
      <c r="J76" s="5">
        <f t="shared" ref="J76:J83" si="43">IF(H$12=0,0,H76/H$12)</f>
        <v>0</v>
      </c>
      <c r="K76" s="1"/>
      <c r="L76" s="1">
        <f t="shared" ref="L76:L83" si="44">+D76-H76</f>
        <v>0</v>
      </c>
      <c r="M76" s="1"/>
      <c r="N76" s="5">
        <f t="shared" ref="N76:N83" si="45">IF(H76=0,0,L76/H76)</f>
        <v>0</v>
      </c>
      <c r="O76" s="14"/>
      <c r="P76" s="1">
        <f>SUM(OSRRefP22_6x_0)</f>
        <v>0</v>
      </c>
      <c r="Q76" s="1"/>
      <c r="R76" s="5">
        <f t="shared" ref="R76:R83" si="46">IF(P$12=0,0,P76/P$12)</f>
        <v>0</v>
      </c>
      <c r="S76" s="1"/>
      <c r="T76" s="1">
        <f>SUM(OSRRefT22_6x_0)</f>
        <v>-30.15</v>
      </c>
      <c r="U76" s="1"/>
      <c r="V76" s="5">
        <f t="shared" ref="V76:V83" si="47">IF(T$12=0,0,T76/T$12)</f>
        <v>-3.1299157000028436E-5</v>
      </c>
      <c r="W76" s="1"/>
      <c r="X76" s="1">
        <f t="shared" ref="X76:X83" si="48">+P76-T76</f>
        <v>30.15</v>
      </c>
      <c r="Y76" s="1"/>
      <c r="Z76" s="5">
        <f t="shared" ref="Z76:Z83" si="49">IF(T76=0,0,X76/T76)</f>
        <v>-1</v>
      </c>
    </row>
    <row r="77" spans="1:26" s="24" customFormat="1" hidden="1" outlineLevel="2" x14ac:dyDescent="0.25">
      <c r="A77" s="28"/>
      <c r="B77" s="11" t="str">
        <f>CONCATENATE("          ", "6279", " - ", "GENERAL EXPENSE")</f>
        <v xml:space="preserve">          6279 - GENERAL EXPENSE</v>
      </c>
      <c r="C77" s="11"/>
      <c r="D77" s="7"/>
      <c r="E77" s="2"/>
      <c r="F77" s="6">
        <f t="shared" si="42"/>
        <v>0</v>
      </c>
      <c r="G77" s="2"/>
      <c r="H77" s="7"/>
      <c r="I77" s="2"/>
      <c r="J77" s="6">
        <f t="shared" si="43"/>
        <v>0</v>
      </c>
      <c r="K77" s="2"/>
      <c r="L77" s="7">
        <f t="shared" si="44"/>
        <v>0</v>
      </c>
      <c r="M77" s="2"/>
      <c r="N77" s="6">
        <f t="shared" si="45"/>
        <v>0</v>
      </c>
      <c r="O77" s="11"/>
      <c r="P77" s="7"/>
      <c r="Q77" s="2"/>
      <c r="R77" s="6">
        <f t="shared" si="46"/>
        <v>0</v>
      </c>
      <c r="S77" s="2"/>
      <c r="T77" s="7">
        <v>-30.15</v>
      </c>
      <c r="U77" s="2"/>
      <c r="V77" s="6">
        <f t="shared" si="47"/>
        <v>-3.1299157000028436E-5</v>
      </c>
      <c r="W77" s="2"/>
      <c r="X77" s="7">
        <f t="shared" si="48"/>
        <v>30.15</v>
      </c>
      <c r="Y77" s="2"/>
      <c r="Z77" s="6">
        <f t="shared" si="49"/>
        <v>-1</v>
      </c>
    </row>
    <row r="78" spans="1:26" s="27" customFormat="1" outlineLevel="1" collapsed="1" x14ac:dyDescent="0.25">
      <c r="A78" s="29"/>
      <c r="B78" s="14" t="str">
        <f>CONCATENATE("     ","Inventory Adjustment                              ")</f>
        <v xml:space="preserve">     Inventory Adjustment                              </v>
      </c>
      <c r="C78" s="14"/>
      <c r="D78" s="1">
        <f>SUM(OSRRefD22_7x_0)</f>
        <v>590</v>
      </c>
      <c r="E78" s="1"/>
      <c r="F78" s="5">
        <f t="shared" si="42"/>
        <v>3.3741276807658883E-3</v>
      </c>
      <c r="G78" s="1"/>
      <c r="H78" s="1">
        <f>SUM(OSRRefH22_7x_0)</f>
        <v>1250</v>
      </c>
      <c r="I78" s="1"/>
      <c r="J78" s="5">
        <f t="shared" si="43"/>
        <v>4.7411963001676412E-3</v>
      </c>
      <c r="K78" s="1"/>
      <c r="L78" s="1">
        <f t="shared" si="44"/>
        <v>-660</v>
      </c>
      <c r="M78" s="1"/>
      <c r="N78" s="5">
        <f t="shared" si="45"/>
        <v>-0.52800000000000002</v>
      </c>
      <c r="O78" s="14"/>
      <c r="P78" s="1">
        <f>SUM(OSRRefP22_7x_0)</f>
        <v>4080</v>
      </c>
      <c r="Q78" s="1"/>
      <c r="R78" s="5">
        <f t="shared" si="46"/>
        <v>6.649934475327017E-3</v>
      </c>
      <c r="S78" s="1"/>
      <c r="T78" s="1">
        <f>SUM(OSRRefT22_7x_0)</f>
        <v>3750</v>
      </c>
      <c r="U78" s="1"/>
      <c r="V78" s="5">
        <f t="shared" si="47"/>
        <v>3.8929299751279153E-3</v>
      </c>
      <c r="W78" s="1"/>
      <c r="X78" s="1">
        <f t="shared" si="48"/>
        <v>330</v>
      </c>
      <c r="Y78" s="1"/>
      <c r="Z78" s="5">
        <f t="shared" si="49"/>
        <v>8.7999999999999995E-2</v>
      </c>
    </row>
    <row r="79" spans="1:26" s="24" customFormat="1" hidden="1" outlineLevel="2" x14ac:dyDescent="0.25">
      <c r="A79" s="28"/>
      <c r="B79" s="11" t="str">
        <f>CONCATENATE("          ", "6408", " - ", "INVENTORY ADJUSTMENT")</f>
        <v xml:space="preserve">          6408 - INVENTORY ADJUSTMENT</v>
      </c>
      <c r="C79" s="11"/>
      <c r="D79" s="7">
        <v>590</v>
      </c>
      <c r="E79" s="2"/>
      <c r="F79" s="6">
        <f t="shared" si="42"/>
        <v>3.3741276807658883E-3</v>
      </c>
      <c r="G79" s="2"/>
      <c r="H79" s="7">
        <v>1250</v>
      </c>
      <c r="I79" s="2"/>
      <c r="J79" s="6">
        <f t="shared" si="43"/>
        <v>4.7411963001676412E-3</v>
      </c>
      <c r="K79" s="2"/>
      <c r="L79" s="7">
        <f t="shared" si="44"/>
        <v>-660</v>
      </c>
      <c r="M79" s="2"/>
      <c r="N79" s="6">
        <f t="shared" si="45"/>
        <v>-0.52800000000000002</v>
      </c>
      <c r="O79" s="11"/>
      <c r="P79" s="7">
        <v>4080</v>
      </c>
      <c r="Q79" s="2"/>
      <c r="R79" s="6">
        <f t="shared" si="46"/>
        <v>6.649934475327017E-3</v>
      </c>
      <c r="S79" s="2"/>
      <c r="T79" s="7">
        <v>3750</v>
      </c>
      <c r="U79" s="2"/>
      <c r="V79" s="6">
        <f t="shared" si="47"/>
        <v>3.8929299751279153E-3</v>
      </c>
      <c r="W79" s="2"/>
      <c r="X79" s="7">
        <f t="shared" si="48"/>
        <v>330</v>
      </c>
      <c r="Y79" s="2"/>
      <c r="Z79" s="6">
        <f t="shared" si="49"/>
        <v>8.7999999999999995E-2</v>
      </c>
    </row>
    <row r="80" spans="1:26" s="27" customFormat="1" outlineLevel="1" collapsed="1" x14ac:dyDescent="0.25">
      <c r="A80" s="29"/>
      <c r="B80" s="14" t="str">
        <f>CONCATENATE("     ","Supplies                                          ")</f>
        <v xml:space="preserve">     Supplies                                          </v>
      </c>
      <c r="C80" s="14"/>
      <c r="D80" s="1">
        <f>SUM(OSRRefD22_8x_0)</f>
        <v>-150.09</v>
      </c>
      <c r="E80" s="1"/>
      <c r="F80" s="5">
        <f t="shared" si="42"/>
        <v>-8.5834376882398681E-4</v>
      </c>
      <c r="G80" s="1"/>
      <c r="H80" s="1">
        <f>SUM(OSRRefH22_8x_0)</f>
        <v>39.36</v>
      </c>
      <c r="I80" s="1"/>
      <c r="J80" s="5">
        <f t="shared" si="43"/>
        <v>1.492907890996787E-4</v>
      </c>
      <c r="K80" s="1"/>
      <c r="L80" s="1">
        <f t="shared" si="44"/>
        <v>-189.45</v>
      </c>
      <c r="M80" s="1"/>
      <c r="N80" s="5">
        <f t="shared" si="45"/>
        <v>-4.8132621951219514</v>
      </c>
      <c r="O80" s="14"/>
      <c r="P80" s="1">
        <f>SUM(OSRRefP22_8x_0)</f>
        <v>3059.19</v>
      </c>
      <c r="Q80" s="1"/>
      <c r="R80" s="5">
        <f t="shared" si="46"/>
        <v>4.9861306489156019E-3</v>
      </c>
      <c r="S80" s="1"/>
      <c r="T80" s="1">
        <f>SUM(OSRRefT22_8x_0)</f>
        <v>1494.9099999999999</v>
      </c>
      <c r="U80" s="1"/>
      <c r="V80" s="5">
        <f t="shared" si="47"/>
        <v>1.5518879864315923E-3</v>
      </c>
      <c r="W80" s="1"/>
      <c r="X80" s="1">
        <f t="shared" si="48"/>
        <v>1564.2800000000002</v>
      </c>
      <c r="Y80" s="1"/>
      <c r="Z80" s="5">
        <f t="shared" si="49"/>
        <v>1.0464041313523893</v>
      </c>
    </row>
    <row r="81" spans="1:26" s="24" customFormat="1" hidden="1" outlineLevel="2" x14ac:dyDescent="0.25">
      <c r="A81" s="28"/>
      <c r="B81" s="11" t="str">
        <f>CONCATENATE("          ", "6235", " - ", "COVID-19 EXPENSES")</f>
        <v xml:space="preserve">          6235 - COVID-19 EXPENSES</v>
      </c>
      <c r="C81" s="11"/>
      <c r="D81" s="7"/>
      <c r="E81" s="2"/>
      <c r="F81" s="6">
        <f t="shared" si="42"/>
        <v>0</v>
      </c>
      <c r="G81" s="2"/>
      <c r="H81" s="7"/>
      <c r="I81" s="2"/>
      <c r="J81" s="6">
        <f t="shared" si="43"/>
        <v>0</v>
      </c>
      <c r="K81" s="2"/>
      <c r="L81" s="7">
        <f t="shared" si="44"/>
        <v>0</v>
      </c>
      <c r="M81" s="2"/>
      <c r="N81" s="6">
        <f t="shared" si="45"/>
        <v>0</v>
      </c>
      <c r="O81" s="11"/>
      <c r="P81" s="7"/>
      <c r="Q81" s="2"/>
      <c r="R81" s="6">
        <f t="shared" si="46"/>
        <v>0</v>
      </c>
      <c r="S81" s="2"/>
      <c r="T81" s="7">
        <v>668.12</v>
      </c>
      <c r="U81" s="2"/>
      <c r="V81" s="6">
        <f t="shared" si="47"/>
        <v>6.9358516666199002E-4</v>
      </c>
      <c r="W81" s="2"/>
      <c r="X81" s="7">
        <f t="shared" si="48"/>
        <v>-668.12</v>
      </c>
      <c r="Y81" s="2"/>
      <c r="Z81" s="6">
        <f t="shared" si="49"/>
        <v>-1</v>
      </c>
    </row>
    <row r="82" spans="1:26" s="24" customFormat="1" hidden="1" outlineLevel="2" x14ac:dyDescent="0.25">
      <c r="A82" s="28"/>
      <c r="B82" s="11" t="str">
        <f>CONCATENATE("          ", "6241", " - ", "OFFICE EXPENSE")</f>
        <v xml:space="preserve">          6241 - OFFICE EXPENSE</v>
      </c>
      <c r="C82" s="11"/>
      <c r="D82" s="7">
        <v>-150.09</v>
      </c>
      <c r="E82" s="2"/>
      <c r="F82" s="6">
        <f t="shared" si="42"/>
        <v>-8.5834376882398681E-4</v>
      </c>
      <c r="G82" s="2"/>
      <c r="H82" s="7">
        <v>39.36</v>
      </c>
      <c r="I82" s="2"/>
      <c r="J82" s="6">
        <f t="shared" si="43"/>
        <v>1.492907890996787E-4</v>
      </c>
      <c r="K82" s="2"/>
      <c r="L82" s="7">
        <f t="shared" si="44"/>
        <v>-189.45</v>
      </c>
      <c r="M82" s="2"/>
      <c r="N82" s="6">
        <f t="shared" si="45"/>
        <v>-4.8132621951219514</v>
      </c>
      <c r="O82" s="11"/>
      <c r="P82" s="7">
        <v>147.19</v>
      </c>
      <c r="Q82" s="2"/>
      <c r="R82" s="6">
        <f t="shared" si="46"/>
        <v>2.3990290574102537E-4</v>
      </c>
      <c r="S82" s="2"/>
      <c r="T82" s="7">
        <v>826.79</v>
      </c>
      <c r="U82" s="2"/>
      <c r="V82" s="6">
        <f t="shared" si="47"/>
        <v>8.5830281976960238E-4</v>
      </c>
      <c r="W82" s="2"/>
      <c r="X82" s="7">
        <f t="shared" si="48"/>
        <v>-679.59999999999991</v>
      </c>
      <c r="Y82" s="2"/>
      <c r="Z82" s="6">
        <f t="shared" si="49"/>
        <v>-0.82197414095477683</v>
      </c>
    </row>
    <row r="83" spans="1:26" s="24" customFormat="1" hidden="1" outlineLevel="2" x14ac:dyDescent="0.25">
      <c r="A83" s="28"/>
      <c r="B83" s="11" t="str">
        <f>CONCATENATE("          ", "6247", " - ", "STORE SUPPLIES")</f>
        <v xml:space="preserve">          6247 - STORE SUPPLIES</v>
      </c>
      <c r="C83" s="11"/>
      <c r="D83" s="7"/>
      <c r="E83" s="2"/>
      <c r="F83" s="6">
        <f t="shared" si="42"/>
        <v>0</v>
      </c>
      <c r="G83" s="2"/>
      <c r="H83" s="7"/>
      <c r="I83" s="2"/>
      <c r="J83" s="6">
        <f t="shared" si="43"/>
        <v>0</v>
      </c>
      <c r="K83" s="2"/>
      <c r="L83" s="7">
        <f t="shared" si="44"/>
        <v>0</v>
      </c>
      <c r="M83" s="2"/>
      <c r="N83" s="6">
        <f t="shared" si="45"/>
        <v>0</v>
      </c>
      <c r="O83" s="11"/>
      <c r="P83" s="7">
        <v>2912</v>
      </c>
      <c r="Q83" s="2"/>
      <c r="R83" s="6">
        <f t="shared" si="46"/>
        <v>4.746227743174577E-3</v>
      </c>
      <c r="S83" s="2"/>
      <c r="T83" s="7"/>
      <c r="U83" s="2"/>
      <c r="V83" s="6">
        <f t="shared" si="47"/>
        <v>0</v>
      </c>
      <c r="W83" s="2"/>
      <c r="X83" s="7">
        <f t="shared" si="48"/>
        <v>2912</v>
      </c>
      <c r="Y83" s="2"/>
      <c r="Z83" s="6">
        <f t="shared" si="49"/>
        <v>0</v>
      </c>
    </row>
    <row r="84" spans="1:26" s="27" customFormat="1" outlineLevel="1" collapsed="1" x14ac:dyDescent="0.25">
      <c r="A84" s="29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SUM(OSRRefD22_9x_0)</f>
        <v>194.95</v>
      </c>
      <c r="E84" s="1"/>
      <c r="F84" s="5">
        <f t="shared" ref="F84:F85" si="50">IF(D$12=0,0,D84/D$12)</f>
        <v>1.1148918497717118E-3</v>
      </c>
      <c r="G84" s="1"/>
      <c r="H84" s="1">
        <f>SUM(OSRRefH22_9x_0)</f>
        <v>300</v>
      </c>
      <c r="I84" s="1"/>
      <c r="J84" s="5">
        <f t="shared" ref="J84:J85" si="51">IF(H$12=0,0,H84/H$12)</f>
        <v>1.137887112040234E-3</v>
      </c>
      <c r="K84" s="1"/>
      <c r="L84" s="1">
        <f t="shared" ref="L84:L85" si="52">+D84-H84</f>
        <v>-105.05000000000001</v>
      </c>
      <c r="M84" s="1"/>
      <c r="N84" s="5">
        <f t="shared" ref="N84:N85" si="53">IF(H84=0,0,L84/H84)</f>
        <v>-0.35016666666666668</v>
      </c>
      <c r="O84" s="14"/>
      <c r="P84" s="1">
        <f>SUM(OSRRefP22_9x_0)</f>
        <v>646.45000000000005</v>
      </c>
      <c r="Q84" s="1"/>
      <c r="R84" s="5">
        <f t="shared" ref="R84:R85" si="54">IF(P$12=0,0,P84/P$12)</f>
        <v>1.0536397405821447E-3</v>
      </c>
      <c r="S84" s="1"/>
      <c r="T84" s="1">
        <f>SUM(OSRRefT22_9x_0)</f>
        <v>911.55</v>
      </c>
      <c r="U84" s="1"/>
      <c r="V84" s="5">
        <f t="shared" ref="V84:V85" si="55">IF(T$12=0,0,T84/T$12)</f>
        <v>9.4629341835409362E-4</v>
      </c>
      <c r="W84" s="1"/>
      <c r="X84" s="1">
        <f t="shared" ref="X84:X85" si="56">+P84-T84</f>
        <v>-265.09999999999991</v>
      </c>
      <c r="Y84" s="1"/>
      <c r="Z84" s="5">
        <f t="shared" ref="Z84:Z85" si="57">IF(T84=0,0,X84/T84)</f>
        <v>-0.29082332291152424</v>
      </c>
    </row>
    <row r="85" spans="1:26" s="24" customFormat="1" hidden="1" outlineLevel="2" x14ac:dyDescent="0.25">
      <c r="A85" s="28"/>
      <c r="B85" s="11" t="str">
        <f>CONCATENATE("          ", "6309", " - ", "TELEPHONE")</f>
        <v xml:space="preserve">          6309 - TELEPHONE</v>
      </c>
      <c r="C85" s="11"/>
      <c r="D85" s="7">
        <v>194.95</v>
      </c>
      <c r="E85" s="2"/>
      <c r="F85" s="6">
        <f t="shared" si="50"/>
        <v>1.1148918497717118E-3</v>
      </c>
      <c r="G85" s="2"/>
      <c r="H85" s="7">
        <v>300</v>
      </c>
      <c r="I85" s="2"/>
      <c r="J85" s="6">
        <f t="shared" si="51"/>
        <v>1.137887112040234E-3</v>
      </c>
      <c r="K85" s="2"/>
      <c r="L85" s="7">
        <f t="shared" si="52"/>
        <v>-105.05000000000001</v>
      </c>
      <c r="M85" s="2"/>
      <c r="N85" s="6">
        <f t="shared" si="53"/>
        <v>-0.35016666666666668</v>
      </c>
      <c r="O85" s="11"/>
      <c r="P85" s="7">
        <v>646.45000000000005</v>
      </c>
      <c r="Q85" s="2"/>
      <c r="R85" s="6">
        <f t="shared" si="54"/>
        <v>1.0536397405821447E-3</v>
      </c>
      <c r="S85" s="2"/>
      <c r="T85" s="7">
        <v>911.55</v>
      </c>
      <c r="U85" s="2"/>
      <c r="V85" s="6">
        <f t="shared" si="55"/>
        <v>9.4629341835409362E-4</v>
      </c>
      <c r="W85" s="2"/>
      <c r="X85" s="7">
        <f t="shared" si="56"/>
        <v>-265.09999999999991</v>
      </c>
      <c r="Y85" s="2"/>
      <c r="Z85" s="6">
        <f t="shared" si="57"/>
        <v>-0.29082332291152424</v>
      </c>
    </row>
    <row r="86" spans="1:26" s="54" customFormat="1" x14ac:dyDescent="0.25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6" t="s">
        <v>292</v>
      </c>
      <c r="C87" s="10"/>
      <c r="D87" s="4">
        <f>SUM(OSRRefD25x_0)</f>
        <v>390.11</v>
      </c>
      <c r="E87" s="4"/>
      <c r="F87" s="12">
        <f t="shared" ref="F87:F90" si="58">IF(D$12=0,0,D87/D$12)</f>
        <v>2.2309846602433575E-3</v>
      </c>
      <c r="G87" s="4"/>
      <c r="H87" s="4">
        <f>SUM(OSRRefH25x_0)</f>
        <v>281.44</v>
      </c>
      <c r="I87" s="4"/>
      <c r="J87" s="12">
        <f t="shared" ref="J87:J90" si="59">IF(H$12=0,0,H87/H$12)</f>
        <v>1.0674898293753449E-3</v>
      </c>
      <c r="K87" s="4"/>
      <c r="L87" s="4">
        <f t="shared" ref="L87:L90" si="60">+D87-H87</f>
        <v>108.67000000000002</v>
      </c>
      <c r="M87" s="4"/>
      <c r="N87" s="12">
        <f t="shared" ref="N87:N90" si="61">IF(H87=0,0,L87/H87)</f>
        <v>0.3861213757816942</v>
      </c>
      <c r="O87" s="10"/>
      <c r="P87" s="4">
        <f>SUM(OSRRefP25x_0)</f>
        <v>2771.44</v>
      </c>
      <c r="Q87" s="4"/>
      <c r="R87" s="12">
        <f t="shared" ref="R87:R90" si="62">IF(P$12=0,0,P87/P$12)</f>
        <v>4.5171309809559574E-3</v>
      </c>
      <c r="S87" s="4"/>
      <c r="T87" s="4">
        <f>SUM(OSRRefT25x_0)</f>
        <v>-232.72000000000003</v>
      </c>
      <c r="U87" s="4"/>
      <c r="V87" s="12">
        <f t="shared" ref="V87:V90" si="63">IF(T$12=0,0,T87/T$12)</f>
        <v>-2.4159004368313827E-4</v>
      </c>
      <c r="W87" s="4"/>
      <c r="X87" s="4">
        <f t="shared" ref="X87:X90" si="64">+P87-T87</f>
        <v>3004.16</v>
      </c>
      <c r="Y87" s="4"/>
      <c r="Z87" s="12">
        <f t="shared" ref="Z87:Z90" si="65">IF(T87=0,0,X87/T87)</f>
        <v>-12.908903403231349</v>
      </c>
    </row>
    <row r="88" spans="1:26" s="24" customFormat="1" hidden="1" outlineLevel="1" x14ac:dyDescent="0.25">
      <c r="A88" s="44"/>
      <c r="B88" s="11" t="str">
        <f>CONCATENATE("          ", "4187", " - ", "NON-TAXABLE SALES-COMPUTER REP")</f>
        <v xml:space="preserve">          4187 - NON-TAXABLE SALES-COMPUTER REP</v>
      </c>
      <c r="C88" s="11"/>
      <c r="D88" s="2">
        <f>0</f>
        <v>0</v>
      </c>
      <c r="E88" s="2"/>
      <c r="F88" s="19">
        <f t="shared" si="58"/>
        <v>0</v>
      </c>
      <c r="G88" s="2"/>
      <c r="H88" s="2">
        <f>--125.14</f>
        <v>125.14</v>
      </c>
      <c r="I88" s="2"/>
      <c r="J88" s="19">
        <f t="shared" si="59"/>
        <v>4.7465064400238291E-4</v>
      </c>
      <c r="K88" s="2"/>
      <c r="L88" s="2">
        <f t="shared" si="60"/>
        <v>-125.14</v>
      </c>
      <c r="M88" s="2"/>
      <c r="N88" s="19">
        <f t="shared" si="61"/>
        <v>-1</v>
      </c>
      <c r="O88" s="11"/>
      <c r="P88" s="2">
        <f>0</f>
        <v>0</v>
      </c>
      <c r="Q88" s="2"/>
      <c r="R88" s="19">
        <f t="shared" si="62"/>
        <v>0</v>
      </c>
      <c r="S88" s="2"/>
      <c r="T88" s="2">
        <f>--145.13</f>
        <v>145.13</v>
      </c>
      <c r="U88" s="2"/>
      <c r="V88" s="19">
        <f t="shared" si="63"/>
        <v>1.5066158061075049E-4</v>
      </c>
      <c r="W88" s="2"/>
      <c r="X88" s="2">
        <f t="shared" si="64"/>
        <v>-145.13</v>
      </c>
      <c r="Y88" s="2"/>
      <c r="Z88" s="19">
        <f t="shared" si="65"/>
        <v>-1</v>
      </c>
    </row>
    <row r="89" spans="1:26" s="24" customFormat="1" hidden="1" outlineLevel="1" x14ac:dyDescent="0.25">
      <c r="A89" s="44"/>
      <c r="B89" s="11" t="str">
        <f>CONCATENATE("          ", "9087", " - ", "")</f>
        <v xml:space="preserve">          9087 - </v>
      </c>
      <c r="C89" s="11"/>
      <c r="D89" s="2">
        <f>-656.36</f>
        <v>-656.36</v>
      </c>
      <c r="E89" s="2"/>
      <c r="F89" s="19">
        <f t="shared" si="58"/>
        <v>-3.7536312619449127E-3</v>
      </c>
      <c r="G89" s="2"/>
      <c r="H89" s="2">
        <f>0</f>
        <v>0</v>
      </c>
      <c r="I89" s="2"/>
      <c r="J89" s="19">
        <f t="shared" si="59"/>
        <v>0</v>
      </c>
      <c r="K89" s="2"/>
      <c r="L89" s="2">
        <f t="shared" si="60"/>
        <v>-656.36</v>
      </c>
      <c r="M89" s="2"/>
      <c r="N89" s="19">
        <f t="shared" si="61"/>
        <v>0</v>
      </c>
      <c r="O89" s="11"/>
      <c r="P89" s="2">
        <f>--363.65</f>
        <v>363.65</v>
      </c>
      <c r="Q89" s="2"/>
      <c r="R89" s="19">
        <f t="shared" si="62"/>
        <v>5.9270800783153658E-4</v>
      </c>
      <c r="S89" s="2"/>
      <c r="T89" s="2">
        <f>0</f>
        <v>0</v>
      </c>
      <c r="U89" s="2"/>
      <c r="V89" s="19">
        <f t="shared" si="63"/>
        <v>0</v>
      </c>
      <c r="W89" s="2"/>
      <c r="X89" s="2">
        <f t="shared" si="64"/>
        <v>363.65</v>
      </c>
      <c r="Y89" s="2"/>
      <c r="Z89" s="19">
        <f t="shared" si="65"/>
        <v>0</v>
      </c>
    </row>
    <row r="90" spans="1:26" s="24" customFormat="1" hidden="1" outlineLevel="1" x14ac:dyDescent="0.25">
      <c r="A90" s="44"/>
      <c r="B90" s="11" t="str">
        <f>CONCATENATE("          ", "9150", " - ", "MISC. INCOME")</f>
        <v xml:space="preserve">          9150 - MISC. INCOME</v>
      </c>
      <c r="C90" s="11"/>
      <c r="D90" s="2">
        <f>--1046.47</f>
        <v>1046.47</v>
      </c>
      <c r="E90" s="2"/>
      <c r="F90" s="19">
        <f t="shared" si="58"/>
        <v>5.9846159221882706E-3</v>
      </c>
      <c r="G90" s="2"/>
      <c r="H90" s="2">
        <f>--156.3</f>
        <v>156.30000000000001</v>
      </c>
      <c r="I90" s="2"/>
      <c r="J90" s="19">
        <f t="shared" si="59"/>
        <v>5.9283918537296194E-4</v>
      </c>
      <c r="K90" s="2"/>
      <c r="L90" s="2">
        <f t="shared" si="60"/>
        <v>890.17000000000007</v>
      </c>
      <c r="M90" s="2"/>
      <c r="N90" s="19">
        <f t="shared" si="61"/>
        <v>5.6952655150351887</v>
      </c>
      <c r="O90" s="11"/>
      <c r="P90" s="2">
        <f>--2407.79</f>
        <v>2407.79</v>
      </c>
      <c r="Q90" s="2"/>
      <c r="R90" s="19">
        <f t="shared" si="62"/>
        <v>3.9244229731244208E-3</v>
      </c>
      <c r="S90" s="2"/>
      <c r="T90" s="2">
        <f>-377.85</f>
        <v>-377.85</v>
      </c>
      <c r="U90" s="2"/>
      <c r="V90" s="19">
        <f t="shared" si="63"/>
        <v>-3.9225162429388876E-4</v>
      </c>
      <c r="W90" s="2"/>
      <c r="X90" s="2">
        <f t="shared" si="64"/>
        <v>2785.64</v>
      </c>
      <c r="Y90" s="2"/>
      <c r="Z90" s="19">
        <f t="shared" si="65"/>
        <v>-7.3723435225618621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5" t="s">
        <v>276</v>
      </c>
      <c r="C92" s="25"/>
      <c r="D92" s="21">
        <f>+D48-D50+D87</f>
        <v>45781.109999999971</v>
      </c>
      <c r="E92" s="13"/>
      <c r="F92" s="22">
        <f>IF(D$12=0,0,D92/D$12)</f>
        <v>0.26181578052065752</v>
      </c>
      <c r="G92" s="13"/>
      <c r="H92" s="21">
        <f>+H48-H50+H87</f>
        <v>-10530.250000000022</v>
      </c>
      <c r="I92" s="13"/>
      <c r="J92" s="22">
        <f>IF(H$12=0,0,H92/H$12)</f>
        <v>-3.9940785871872331E-2</v>
      </c>
      <c r="K92" s="16"/>
      <c r="L92" s="21">
        <f>+D92-H92</f>
        <v>56311.359999999993</v>
      </c>
      <c r="M92" s="16"/>
      <c r="N92" s="22">
        <f>IF(H92=0,0,L92/H92)</f>
        <v>-5.3475805417725004</v>
      </c>
      <c r="O92" s="26"/>
      <c r="P92" s="21">
        <f>+P48-P50+P87</f>
        <v>81752.719999999856</v>
      </c>
      <c r="Q92" s="13"/>
      <c r="R92" s="22">
        <f>IF(P$12=0,0,P92/P$12)</f>
        <v>0.13324760568131264</v>
      </c>
      <c r="S92" s="13"/>
      <c r="T92" s="21">
        <f>+T48-T50+T87</f>
        <v>-741.69000000014671</v>
      </c>
      <c r="U92" s="13"/>
      <c r="V92" s="22">
        <f>IF(T$12=0,0,T92/T$12)</f>
        <v>-7.6995926220085192E-4</v>
      </c>
      <c r="W92" s="16"/>
      <c r="X92" s="21">
        <f>+P92-T92</f>
        <v>82494.41</v>
      </c>
      <c r="Y92" s="16"/>
      <c r="Z92" s="22">
        <f>IF(T92=0,0,X92/T92)</f>
        <v>-111.22491876657861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127</v>
      </c>
      <c r="C94" s="10"/>
      <c r="D94" s="4">
        <v>10388.01</v>
      </c>
      <c r="E94" s="4"/>
      <c r="F94" s="12">
        <f>IF(D$12=0,0,D94/D$12)</f>
        <v>5.9407579811987896E-2</v>
      </c>
      <c r="G94" s="4"/>
      <c r="H94" s="4">
        <v>60328.69</v>
      </c>
      <c r="I94" s="4"/>
      <c r="J94" s="12">
        <f>IF(H$12=0,0,H94/H$12)</f>
        <v>0.22882412945756847</v>
      </c>
      <c r="K94" s="4"/>
      <c r="L94" s="4">
        <f>+D94-H94</f>
        <v>-49940.68</v>
      </c>
      <c r="M94" s="4"/>
      <c r="N94" s="12">
        <f>IF(H94=0,0,L94/H94)</f>
        <v>-0.82780978668689809</v>
      </c>
      <c r="O94" s="10"/>
      <c r="P94" s="4">
        <v>75941.279999999999</v>
      </c>
      <c r="Q94" s="4"/>
      <c r="R94" s="12">
        <f>IF(P$12=0,0,P94/P$12)</f>
        <v>0.12377562156187795</v>
      </c>
      <c r="S94" s="4"/>
      <c r="T94" s="4">
        <v>178453.3</v>
      </c>
      <c r="U94" s="4"/>
      <c r="V94" s="12">
        <f>IF(T$12=0,0,T94/T$12)</f>
        <v>0.18525498686146516</v>
      </c>
      <c r="W94" s="4"/>
      <c r="X94" s="4">
        <f>+P94-T94</f>
        <v>-102512.01999999999</v>
      </c>
      <c r="Y94" s="4"/>
      <c r="Z94" s="12">
        <f>IF(T94=0,0,X94/T94)</f>
        <v>-0.57444732039138524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5" t="s">
        <v>125</v>
      </c>
      <c r="C96" s="25"/>
      <c r="D96" s="33">
        <f>+D92-D94</f>
        <v>35393.099999999969</v>
      </c>
      <c r="E96" s="13"/>
      <c r="F96" s="35">
        <f>IF(D$12=0,0,D96/D$12)</f>
        <v>0.20240820070866961</v>
      </c>
      <c r="G96" s="13"/>
      <c r="H96" s="33">
        <f>+H92-H94</f>
        <v>-70858.940000000031</v>
      </c>
      <c r="I96" s="13"/>
      <c r="J96" s="35">
        <f>IF(H$12=0,0,H96/H$12)</f>
        <v>-0.26876491532944086</v>
      </c>
      <c r="K96" s="16"/>
      <c r="L96" s="33">
        <f>D96-H96</f>
        <v>106252.04000000001</v>
      </c>
      <c r="M96" s="16"/>
      <c r="N96" s="35">
        <f>IF(H96=0,0,L96/H96)</f>
        <v>-1.4994867267277772</v>
      </c>
      <c r="O96" s="26"/>
      <c r="P96" s="33">
        <f>+P92-P94</f>
        <v>5811.4399999998568</v>
      </c>
      <c r="Q96" s="13"/>
      <c r="R96" s="35">
        <f>IF(P$12=0,0,P96/P$12)</f>
        <v>9.4719841194346784E-3</v>
      </c>
      <c r="S96" s="13"/>
      <c r="T96" s="33">
        <f>+T92-T94</f>
        <v>-179194.99000000014</v>
      </c>
      <c r="U96" s="13"/>
      <c r="V96" s="35">
        <f>IF(T$12=0,0,T96/T$12)</f>
        <v>-0.18602494612366602</v>
      </c>
      <c r="W96" s="16"/>
      <c r="X96" s="33">
        <f>P96-T96</f>
        <v>185006.43</v>
      </c>
      <c r="Y96" s="16"/>
      <c r="Z96" s="35">
        <f>IF(T96=0,0,X96/T96)</f>
        <v>-1.032430817401758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5" t="s">
        <v>293</v>
      </c>
      <c r="C99" s="25"/>
      <c r="D99" s="31">
        <f>SUM(D96:D98)</f>
        <v>35393.099999999969</v>
      </c>
      <c r="E99" s="13"/>
      <c r="F99" s="32">
        <f>IF(D$12=0,0,D99/D$12)</f>
        <v>0.20240820070866961</v>
      </c>
      <c r="G99" s="13"/>
      <c r="H99" s="31">
        <f>SUM(H96:H98)</f>
        <v>-70858.940000000031</v>
      </c>
      <c r="I99" s="13"/>
      <c r="J99" s="32">
        <f>IF(H$12=0,0,H99/H$12)</f>
        <v>-0.26876491532944086</v>
      </c>
      <c r="K99" s="16"/>
      <c r="L99" s="31">
        <f>+D99-H99</f>
        <v>106252.04000000001</v>
      </c>
      <c r="M99" s="16"/>
      <c r="N99" s="32">
        <f>IF(H99=0,0,L99/H99)</f>
        <v>-1.4994867267277772</v>
      </c>
      <c r="O99" s="26"/>
      <c r="P99" s="31">
        <f>SUM(P96:P98)</f>
        <v>5811.4399999998568</v>
      </c>
      <c r="Q99" s="13"/>
      <c r="R99" s="32">
        <f>IF(P$12=0,0,P99/P$12)</f>
        <v>9.4719841194346784E-3</v>
      </c>
      <c r="S99" s="13"/>
      <c r="T99" s="31">
        <f>SUM(T96:T98)</f>
        <v>-179194.99000000014</v>
      </c>
      <c r="U99" s="13"/>
      <c r="V99" s="32">
        <f>IF(T$12=0,0,T99/T$12)</f>
        <v>-0.18602494612366602</v>
      </c>
      <c r="W99" s="16"/>
      <c r="X99" s="31">
        <f>+P99-T99</f>
        <v>185006.43</v>
      </c>
      <c r="Y99" s="16"/>
      <c r="Z99" s="32">
        <f>IF(T99=0,0,X99/T99)</f>
        <v>-1.032430817401758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8">
        <v>44481.985668518515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3" t="s">
        <v>56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52"/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</sheetPr>
  <dimension ref="A2:Z9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198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16112.9</v>
      </c>
      <c r="E12" s="4"/>
      <c r="F12" s="12"/>
      <c r="G12" s="4"/>
      <c r="H12" s="4">
        <f>SUM(OSRRefH13x_0)</f>
        <v>1762.4699999999998</v>
      </c>
      <c r="I12" s="4"/>
      <c r="J12" s="12"/>
      <c r="K12" s="4"/>
      <c r="L12" s="4">
        <f t="shared" ref="L12:L21" si="0">+D12-H12</f>
        <v>14350.43</v>
      </c>
      <c r="M12" s="4"/>
      <c r="N12" s="12">
        <f t="shared" ref="N12:N21" si="1">IF(H12=0,0,L12/H12)</f>
        <v>8.1422265343523588</v>
      </c>
      <c r="O12" s="10"/>
      <c r="P12" s="4">
        <f>SUM(OSRRefP13x_0)</f>
        <v>22778.039999999997</v>
      </c>
      <c r="Q12" s="4"/>
      <c r="R12" s="12"/>
      <c r="S12" s="4"/>
      <c r="T12" s="4">
        <f>SUM(OSRRefT13x_0)</f>
        <v>2586.4700000000003</v>
      </c>
      <c r="U12" s="4"/>
      <c r="V12" s="12"/>
      <c r="W12" s="4"/>
      <c r="X12" s="4">
        <f t="shared" ref="X12:X21" si="2">+P12-T12</f>
        <v>20191.569999999996</v>
      </c>
      <c r="Y12" s="4"/>
      <c r="Z12" s="12">
        <f t="shared" ref="Z12:Z21" si="3">IF(T12=0,0,X12/T12)</f>
        <v>7.8066128739169578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--2858.93</f>
        <v>2858.93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2858.93</v>
      </c>
      <c r="M13" s="2"/>
      <c r="N13" s="19">
        <f t="shared" si="1"/>
        <v>0</v>
      </c>
      <c r="O13" s="11"/>
      <c r="P13" s="2">
        <f>--4093.85</f>
        <v>4093.85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4093.85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ref="D14:D15" si="4">0</f>
        <v>0</v>
      </c>
      <c r="E14" s="2"/>
      <c r="F14" s="19"/>
      <c r="G14" s="2"/>
      <c r="H14" s="2">
        <f>--356.39</f>
        <v>356.39</v>
      </c>
      <c r="I14" s="2"/>
      <c r="J14" s="19"/>
      <c r="K14" s="2"/>
      <c r="L14" s="2">
        <f t="shared" si="0"/>
        <v>-356.39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--444.59</f>
        <v>444.59</v>
      </c>
      <c r="U14" s="2"/>
      <c r="V14" s="19"/>
      <c r="W14" s="2"/>
      <c r="X14" s="2">
        <f t="shared" si="2"/>
        <v>-444.59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>
        <f t="shared" ref="H15:H17" si="6"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5"/>
        <v>0</v>
      </c>
      <c r="Q15" s="2"/>
      <c r="R15" s="19"/>
      <c r="S15" s="2"/>
      <c r="T15" s="2">
        <f t="shared" ref="T15:T17" si="7">0</f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--139.09</f>
        <v>139.09</v>
      </c>
      <c r="E16" s="2"/>
      <c r="F16" s="19"/>
      <c r="G16" s="2"/>
      <c r="H16" s="2">
        <f t="shared" si="6"/>
        <v>0</v>
      </c>
      <c r="I16" s="2"/>
      <c r="J16" s="19"/>
      <c r="K16" s="2"/>
      <c r="L16" s="2">
        <f t="shared" si="0"/>
        <v>139.09</v>
      </c>
      <c r="M16" s="2"/>
      <c r="N16" s="19">
        <f t="shared" si="1"/>
        <v>0</v>
      </c>
      <c r="O16" s="11"/>
      <c r="P16" s="2">
        <f>--139.09</f>
        <v>139.09</v>
      </c>
      <c r="Q16" s="2"/>
      <c r="R16" s="19"/>
      <c r="S16" s="2"/>
      <c r="T16" s="2">
        <f t="shared" si="7"/>
        <v>0</v>
      </c>
      <c r="U16" s="2"/>
      <c r="V16" s="19"/>
      <c r="W16" s="2"/>
      <c r="X16" s="2">
        <f t="shared" si="2"/>
        <v>139.09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--13245.23</f>
        <v>13245.23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13245.23</v>
      </c>
      <c r="M17" s="2"/>
      <c r="N17" s="19">
        <f t="shared" si="1"/>
        <v>0</v>
      </c>
      <c r="O17" s="11"/>
      <c r="P17" s="2">
        <f>--18545.1</f>
        <v>18545.099999999999</v>
      </c>
      <c r="Q17" s="2"/>
      <c r="R17" s="19"/>
      <c r="S17" s="2"/>
      <c r="T17" s="2">
        <f t="shared" si="7"/>
        <v>0</v>
      </c>
      <c r="U17" s="2"/>
      <c r="V17" s="19"/>
      <c r="W17" s="2"/>
      <c r="X17" s="2">
        <f t="shared" si="2"/>
        <v>18545.099999999999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"4132", " - ", "NON-TAXABLE SALES-JUICE")</f>
        <v xml:space="preserve">          4132 - NON-TAXABLE SALES-JUICE</v>
      </c>
      <c r="C18" s="11"/>
      <c r="D18" s="2">
        <f t="shared" ref="D18:D20" si="8">0</f>
        <v>0</v>
      </c>
      <c r="E18" s="2"/>
      <c r="F18" s="19"/>
      <c r="G18" s="2"/>
      <c r="H18" s="2">
        <f>--1406.08</f>
        <v>1406.08</v>
      </c>
      <c r="I18" s="2"/>
      <c r="J18" s="19"/>
      <c r="K18" s="2"/>
      <c r="L18" s="2">
        <f t="shared" si="0"/>
        <v>-1406.08</v>
      </c>
      <c r="M18" s="2"/>
      <c r="N18" s="19">
        <f t="shared" si="1"/>
        <v>-1</v>
      </c>
      <c r="O18" s="11"/>
      <c r="P18" s="2">
        <f t="shared" ref="P18:P21" si="9">0</f>
        <v>0</v>
      </c>
      <c r="Q18" s="2"/>
      <c r="R18" s="19"/>
      <c r="S18" s="2"/>
      <c r="T18" s="2">
        <f>--2031.88</f>
        <v>2031.88</v>
      </c>
      <c r="U18" s="2"/>
      <c r="V18" s="19"/>
      <c r="W18" s="2"/>
      <c r="X18" s="2">
        <f t="shared" si="2"/>
        <v>-2031.88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"4134", " - ", "NON-TAXABLE SALES-SODA")</f>
        <v xml:space="preserve">          4134 - NON-TAXABLE SALES-SODA</v>
      </c>
      <c r="C19" s="11"/>
      <c r="D19" s="2">
        <f t="shared" si="8"/>
        <v>0</v>
      </c>
      <c r="E19" s="2"/>
      <c r="F19" s="19"/>
      <c r="G19" s="2"/>
      <c r="H19" s="2">
        <f t="shared" ref="H19:H21" si="10"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9"/>
        <v>0</v>
      </c>
      <c r="Q19" s="2"/>
      <c r="R19" s="19"/>
      <c r="S19" s="2"/>
      <c r="T19" s="2">
        <f t="shared" ref="T19:T20" si="11">0</f>
        <v>0</v>
      </c>
      <c r="U19" s="2"/>
      <c r="V19" s="19"/>
      <c r="W19" s="2"/>
      <c r="X19" s="2">
        <f t="shared" si="2"/>
        <v>0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"4137", " - ", "NON-TAXABLE SALES-WATER")</f>
        <v xml:space="preserve">          4137 - NON-TAXABLE SALES-WATER</v>
      </c>
      <c r="C20" s="11"/>
      <c r="D20" s="2">
        <f t="shared" si="8"/>
        <v>0</v>
      </c>
      <c r="E20" s="2"/>
      <c r="F20" s="19"/>
      <c r="G20" s="2"/>
      <c r="H20" s="2">
        <f t="shared" si="10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9"/>
        <v>0</v>
      </c>
      <c r="Q20" s="2"/>
      <c r="R20" s="19"/>
      <c r="S20" s="2"/>
      <c r="T20" s="2">
        <f t="shared" si="11"/>
        <v>0</v>
      </c>
      <c r="U20" s="2"/>
      <c r="V20" s="19"/>
      <c r="W20" s="2"/>
      <c r="X20" s="2">
        <f t="shared" si="2"/>
        <v>0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>-130.35</f>
        <v>-130.35</v>
      </c>
      <c r="E21" s="2"/>
      <c r="F21" s="19"/>
      <c r="G21" s="2"/>
      <c r="H21" s="2">
        <f t="shared" si="10"/>
        <v>0</v>
      </c>
      <c r="I21" s="2"/>
      <c r="J21" s="19"/>
      <c r="K21" s="2"/>
      <c r="L21" s="2">
        <f t="shared" si="0"/>
        <v>-130.35</v>
      </c>
      <c r="M21" s="2"/>
      <c r="N21" s="19">
        <f t="shared" si="1"/>
        <v>0</v>
      </c>
      <c r="O21" s="11"/>
      <c r="P21" s="2">
        <f t="shared" si="9"/>
        <v>0</v>
      </c>
      <c r="Q21" s="2"/>
      <c r="R21" s="19"/>
      <c r="S21" s="2"/>
      <c r="T21" s="2">
        <f>--110</f>
        <v>110</v>
      </c>
      <c r="U21" s="2"/>
      <c r="V21" s="19"/>
      <c r="W21" s="2"/>
      <c r="X21" s="2">
        <f t="shared" si="2"/>
        <v>-110</v>
      </c>
      <c r="Y21" s="2"/>
      <c r="Z21" s="19">
        <f t="shared" si="3"/>
        <v>-1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6" t="s">
        <v>256</v>
      </c>
      <c r="C23" s="10"/>
      <c r="D23" s="4">
        <f>SUM(OSRRefD16x_0)</f>
        <v>7971.7199999999993</v>
      </c>
      <c r="E23" s="4"/>
      <c r="F23" s="12">
        <f t="shared" ref="F23:F25" si="12">IF(D$12=0,0,D23/D$12)</f>
        <v>0.49474148042872479</v>
      </c>
      <c r="G23" s="4"/>
      <c r="H23" s="4">
        <f>SUM(OSRRefH16x_0)</f>
        <v>53.15</v>
      </c>
      <c r="I23" s="4"/>
      <c r="J23" s="12">
        <f t="shared" ref="J23:J25" si="13">IF(H$12=0,0,H23/H$12)</f>
        <v>3.0156541671631294E-2</v>
      </c>
      <c r="K23" s="4"/>
      <c r="L23" s="4">
        <f t="shared" ref="L23:L25" si="14">+D23-H23</f>
        <v>7918.57</v>
      </c>
      <c r="M23" s="4"/>
      <c r="N23" s="12">
        <f t="shared" ref="N23:N25" si="15">IF(H23=0,0,L23/H23)</f>
        <v>148.98532455315146</v>
      </c>
      <c r="O23" s="10"/>
      <c r="P23" s="4">
        <f>SUM(OSRRefP16x_0)</f>
        <v>11218.28</v>
      </c>
      <c r="Q23" s="4"/>
      <c r="R23" s="12">
        <f t="shared" ref="R23:R25" si="16">IF(P$12=0,0,P23/P$12)</f>
        <v>0.49250418385427375</v>
      </c>
      <c r="S23" s="4"/>
      <c r="T23" s="4">
        <f>SUM(OSRRefT16x_0)</f>
        <v>-2216.4900000000002</v>
      </c>
      <c r="U23" s="4"/>
      <c r="V23" s="12">
        <f t="shared" ref="V23:V25" si="17">IF(T$12=0,0,T23/T$12)</f>
        <v>-0.85695561904835549</v>
      </c>
      <c r="W23" s="4"/>
      <c r="X23" s="4">
        <f t="shared" ref="X23:X25" si="18">+P23-T23</f>
        <v>13434.77</v>
      </c>
      <c r="Y23" s="4"/>
      <c r="Z23" s="12">
        <f t="shared" ref="Z23:Z25" si="19">IF(T23=0,0,X23/T23)</f>
        <v>-6.0612815758248395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8370.32</v>
      </c>
      <c r="E24" s="2"/>
      <c r="F24" s="19">
        <f t="shared" si="12"/>
        <v>0.51947942331920383</v>
      </c>
      <c r="G24" s="2"/>
      <c r="H24" s="2">
        <v>53.15</v>
      </c>
      <c r="I24" s="2"/>
      <c r="J24" s="19">
        <f t="shared" si="13"/>
        <v>3.0156541671631294E-2</v>
      </c>
      <c r="K24" s="2"/>
      <c r="L24" s="2">
        <f t="shared" si="14"/>
        <v>8317.17</v>
      </c>
      <c r="M24" s="2"/>
      <c r="N24" s="19">
        <f t="shared" si="15"/>
        <v>156.4848541862653</v>
      </c>
      <c r="O24" s="11"/>
      <c r="P24" s="2">
        <v>23355.88</v>
      </c>
      <c r="Q24" s="2"/>
      <c r="R24" s="19">
        <f t="shared" si="16"/>
        <v>1.0253682933211112</v>
      </c>
      <c r="S24" s="2"/>
      <c r="T24" s="2">
        <v>-2285.4</v>
      </c>
      <c r="U24" s="2"/>
      <c r="V24" s="19">
        <f t="shared" si="17"/>
        <v>-0.88359810861908306</v>
      </c>
      <c r="W24" s="2"/>
      <c r="X24" s="2">
        <f t="shared" si="18"/>
        <v>25641.280000000002</v>
      </c>
      <c r="Y24" s="2"/>
      <c r="Z24" s="19">
        <f t="shared" si="19"/>
        <v>-11.219602695370614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-398.6</v>
      </c>
      <c r="E25" s="2"/>
      <c r="F25" s="19">
        <f t="shared" si="12"/>
        <v>-2.4737942890479057E-2</v>
      </c>
      <c r="G25" s="2"/>
      <c r="H25" s="2"/>
      <c r="I25" s="2"/>
      <c r="J25" s="19">
        <f t="shared" si="13"/>
        <v>0</v>
      </c>
      <c r="K25" s="2"/>
      <c r="L25" s="2">
        <f t="shared" si="14"/>
        <v>-398.6</v>
      </c>
      <c r="M25" s="2"/>
      <c r="N25" s="19">
        <f t="shared" si="15"/>
        <v>0</v>
      </c>
      <c r="O25" s="11"/>
      <c r="P25" s="2">
        <v>-12137.6</v>
      </c>
      <c r="Q25" s="2"/>
      <c r="R25" s="19">
        <f t="shared" si="16"/>
        <v>-0.53286410946683749</v>
      </c>
      <c r="S25" s="2"/>
      <c r="T25" s="2">
        <v>68.91</v>
      </c>
      <c r="U25" s="2"/>
      <c r="V25" s="19">
        <f t="shared" si="17"/>
        <v>2.6642489570727668E-2</v>
      </c>
      <c r="W25" s="2"/>
      <c r="X25" s="2">
        <f t="shared" si="18"/>
        <v>-12206.51</v>
      </c>
      <c r="Y25" s="2"/>
      <c r="Z25" s="19">
        <f t="shared" si="19"/>
        <v>-177.13699027717314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107</v>
      </c>
      <c r="C27" s="25"/>
      <c r="D27" s="21">
        <f>D12-D23</f>
        <v>8141.18</v>
      </c>
      <c r="E27" s="13"/>
      <c r="F27" s="22">
        <f>IF(D$12=0,0,D27/D$12)</f>
        <v>0.50525851957127521</v>
      </c>
      <c r="G27" s="13"/>
      <c r="H27" s="21">
        <f>H12-H23</f>
        <v>1709.3199999999997</v>
      </c>
      <c r="I27" s="13"/>
      <c r="J27" s="22">
        <f>IF(H$12=0,0,H27/H$12)</f>
        <v>0.9698434583283686</v>
      </c>
      <c r="K27" s="16"/>
      <c r="L27" s="21">
        <f>+D27-H27</f>
        <v>6431.8600000000006</v>
      </c>
      <c r="M27" s="16"/>
      <c r="N27" s="22">
        <f>IF(H27=0,0,L27/H27)</f>
        <v>3.7628179626986178</v>
      </c>
      <c r="O27" s="26"/>
      <c r="P27" s="21">
        <f>P12-P23</f>
        <v>11559.759999999997</v>
      </c>
      <c r="Q27" s="13"/>
      <c r="R27" s="22">
        <f>IF(P$12=0,0,P27/P$12)</f>
        <v>0.50749581614572625</v>
      </c>
      <c r="S27" s="13"/>
      <c r="T27" s="21">
        <f>T12-T23</f>
        <v>4802.9600000000009</v>
      </c>
      <c r="U27" s="13"/>
      <c r="V27" s="22">
        <f>IF(T$12=0,0,T27/T$12)</f>
        <v>1.8569556190483556</v>
      </c>
      <c r="W27" s="16"/>
      <c r="X27" s="21">
        <f>+P27-T27</f>
        <v>6756.7999999999956</v>
      </c>
      <c r="Y27" s="16"/>
      <c r="Z27" s="22">
        <f>IF(T27=0,0,X27/T27)</f>
        <v>1.4067991405300053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6" t="s">
        <v>294</v>
      </c>
      <c r="C29" s="10"/>
      <c r="D29" s="20">
        <f>SUM(OSRRefD22x_0)</f>
        <v>18475.419999999998</v>
      </c>
      <c r="E29" s="20"/>
      <c r="F29" s="30">
        <f t="shared" ref="F29:F38" si="20">IF(D$12=0,0,D29/D$12)</f>
        <v>1.1466228922167951</v>
      </c>
      <c r="G29" s="20"/>
      <c r="H29" s="20">
        <f>SUM(OSRRefH22x_0)</f>
        <v>32187.000000000004</v>
      </c>
      <c r="I29" s="20"/>
      <c r="J29" s="30">
        <f t="shared" ref="J29:J38" si="21">IF(H$12=0,0,H29/H$12)</f>
        <v>18.262438509591657</v>
      </c>
      <c r="K29" s="4"/>
      <c r="L29" s="20">
        <f t="shared" ref="L29:L38" si="22">+D29-H29</f>
        <v>-13711.580000000005</v>
      </c>
      <c r="M29" s="4"/>
      <c r="N29" s="30">
        <f t="shared" ref="N29:N38" si="23">IF(H29=0,0,L29/H29)</f>
        <v>-0.42599745238761</v>
      </c>
      <c r="O29" s="10"/>
      <c r="P29" s="20">
        <f>SUM(OSRRefP22x_0)</f>
        <v>58486.74</v>
      </c>
      <c r="Q29" s="20"/>
      <c r="R29" s="30">
        <f t="shared" ref="R29:R38" si="24">IF(P$12=0,0,P29/P$12)</f>
        <v>2.5676809769409488</v>
      </c>
      <c r="S29" s="20"/>
      <c r="T29" s="20">
        <f>SUM(OSRRefT22x_0)</f>
        <v>97440.74</v>
      </c>
      <c r="U29" s="20"/>
      <c r="V29" s="30">
        <f t="shared" ref="V29:V38" si="25">IF(T$12=0,0,T29/T$12)</f>
        <v>37.673253507676485</v>
      </c>
      <c r="W29" s="4"/>
      <c r="X29" s="20">
        <f t="shared" ref="X29:X38" si="26">+P29-T29</f>
        <v>-38954.000000000007</v>
      </c>
      <c r="Y29" s="4"/>
      <c r="Z29" s="30">
        <f t="shared" ref="Z29:Z38" si="27">IF(T29=0,0,X29/T29)</f>
        <v>-0.39977118400373401</v>
      </c>
    </row>
    <row r="30" spans="1:26" s="27" customFormat="1" outlineLevel="1" collapsed="1" x14ac:dyDescent="0.25">
      <c r="A30" s="29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259.75000000000006</v>
      </c>
      <c r="E30" s="1"/>
      <c r="F30" s="5">
        <f t="shared" si="20"/>
        <v>1.6120623847972745E-2</v>
      </c>
      <c r="G30" s="1"/>
      <c r="H30" s="1">
        <f>SUM(OSRRefH22_0x_0)</f>
        <v>6025.29</v>
      </c>
      <c r="I30" s="1"/>
      <c r="J30" s="5">
        <f t="shared" si="21"/>
        <v>3.4186624453182186</v>
      </c>
      <c r="K30" s="1"/>
      <c r="L30" s="1">
        <f t="shared" si="22"/>
        <v>-5765.54</v>
      </c>
      <c r="M30" s="1"/>
      <c r="N30" s="5">
        <f t="shared" si="23"/>
        <v>-0.95689004180711634</v>
      </c>
      <c r="O30" s="14"/>
      <c r="P30" s="1">
        <f>SUM(OSRRefP22_0x_0)</f>
        <v>544.19000000000005</v>
      </c>
      <c r="Q30" s="1"/>
      <c r="R30" s="5">
        <f t="shared" si="24"/>
        <v>2.3890993254906925E-2</v>
      </c>
      <c r="S30" s="1"/>
      <c r="T30" s="1">
        <f>SUM(OSRRefT22_0x_0)</f>
        <v>20963.57</v>
      </c>
      <c r="U30" s="1"/>
      <c r="V30" s="5">
        <f t="shared" si="25"/>
        <v>8.1050891755945358</v>
      </c>
      <c r="W30" s="1"/>
      <c r="X30" s="1">
        <f t="shared" si="26"/>
        <v>-20419.38</v>
      </c>
      <c r="Y30" s="1"/>
      <c r="Z30" s="5">
        <f t="shared" si="27"/>
        <v>-0.97404115806611191</v>
      </c>
    </row>
    <row r="31" spans="1:26" s="24" customFormat="1" hidden="1" outlineLevel="2" x14ac:dyDescent="0.25">
      <c r="A31" s="28"/>
      <c r="B31" s="11" t="str">
        <f>CONCATENATE("          ", "6111", " - ", "F.I.C.A.")</f>
        <v xml:space="preserve">          6111 - F.I.C.A.</v>
      </c>
      <c r="C31" s="11"/>
      <c r="D31" s="7">
        <v>163.55000000000001</v>
      </c>
      <c r="E31" s="2"/>
      <c r="F31" s="6">
        <f t="shared" si="20"/>
        <v>1.0150252282332789E-2</v>
      </c>
      <c r="G31" s="2"/>
      <c r="H31" s="7">
        <v>812.39</v>
      </c>
      <c r="I31" s="2"/>
      <c r="J31" s="6">
        <f t="shared" si="21"/>
        <v>0.46093834221291713</v>
      </c>
      <c r="K31" s="2"/>
      <c r="L31" s="7">
        <f t="shared" si="22"/>
        <v>-648.83999999999992</v>
      </c>
      <c r="M31" s="2"/>
      <c r="N31" s="6">
        <f t="shared" si="23"/>
        <v>-0.79868043673605038</v>
      </c>
      <c r="O31" s="11"/>
      <c r="P31" s="7">
        <v>331.67</v>
      </c>
      <c r="Q31" s="2"/>
      <c r="R31" s="6">
        <f t="shared" si="24"/>
        <v>1.456095432267219E-2</v>
      </c>
      <c r="S31" s="2"/>
      <c r="T31" s="7">
        <v>2349.4899999999998</v>
      </c>
      <c r="U31" s="2"/>
      <c r="V31" s="6">
        <f t="shared" si="25"/>
        <v>0.9083770544409947</v>
      </c>
      <c r="W31" s="2"/>
      <c r="X31" s="7">
        <f t="shared" si="26"/>
        <v>-2017.8199999999997</v>
      </c>
      <c r="Y31" s="2"/>
      <c r="Z31" s="6">
        <f t="shared" si="27"/>
        <v>-0.85883319358669319</v>
      </c>
    </row>
    <row r="32" spans="1:26" s="24" customFormat="1" hidden="1" outlineLevel="2" x14ac:dyDescent="0.25">
      <c r="A32" s="28"/>
      <c r="B32" s="11" t="str">
        <f>CONCATENATE("          ", "6112", " - ", "COMPENSATION INSURANCE")</f>
        <v xml:space="preserve">          6112 - COMPENSATION INSURANCE</v>
      </c>
      <c r="C32" s="11"/>
      <c r="D32" s="7">
        <v>83.23</v>
      </c>
      <c r="E32" s="2"/>
      <c r="F32" s="6">
        <f t="shared" si="20"/>
        <v>5.165426459544837E-3</v>
      </c>
      <c r="G32" s="2"/>
      <c r="H32" s="7">
        <v>163.46</v>
      </c>
      <c r="I32" s="2"/>
      <c r="J32" s="6">
        <f t="shared" si="21"/>
        <v>9.2744841046939822E-2</v>
      </c>
      <c r="K32" s="2"/>
      <c r="L32" s="7">
        <f t="shared" si="22"/>
        <v>-80.23</v>
      </c>
      <c r="M32" s="2"/>
      <c r="N32" s="6">
        <f t="shared" si="23"/>
        <v>-0.4908234430441698</v>
      </c>
      <c r="O32" s="11"/>
      <c r="P32" s="7">
        <v>115.76</v>
      </c>
      <c r="Q32" s="2"/>
      <c r="R32" s="6">
        <f t="shared" si="24"/>
        <v>5.082087835476627E-3</v>
      </c>
      <c r="S32" s="2"/>
      <c r="T32" s="7">
        <v>496.7</v>
      </c>
      <c r="U32" s="2"/>
      <c r="V32" s="6">
        <f t="shared" si="25"/>
        <v>0.19203779668815024</v>
      </c>
      <c r="W32" s="2"/>
      <c r="X32" s="7">
        <f t="shared" si="26"/>
        <v>-380.94</v>
      </c>
      <c r="Y32" s="2"/>
      <c r="Z32" s="6">
        <f t="shared" si="27"/>
        <v>-0.76694181598550437</v>
      </c>
    </row>
    <row r="33" spans="1:26" s="24" customFormat="1" hidden="1" outlineLevel="2" x14ac:dyDescent="0.25">
      <c r="A33" s="28"/>
      <c r="B33" s="11" t="str">
        <f>CONCATENATE("          ", "6113", " - ", "GROUP INSURANCE")</f>
        <v xml:space="preserve">          6113 - GROUP INSURANCE</v>
      </c>
      <c r="C33" s="11"/>
      <c r="D33" s="7"/>
      <c r="E33" s="2"/>
      <c r="F33" s="6">
        <f t="shared" si="20"/>
        <v>0</v>
      </c>
      <c r="G33" s="2"/>
      <c r="H33" s="7">
        <v>2704.94</v>
      </c>
      <c r="I33" s="2"/>
      <c r="J33" s="6">
        <f t="shared" si="21"/>
        <v>1.5347438537960931</v>
      </c>
      <c r="K33" s="2"/>
      <c r="L33" s="7">
        <f t="shared" si="22"/>
        <v>-2704.94</v>
      </c>
      <c r="M33" s="2"/>
      <c r="N33" s="6">
        <f t="shared" si="23"/>
        <v>-1</v>
      </c>
      <c r="O33" s="11"/>
      <c r="P33" s="7"/>
      <c r="Q33" s="2"/>
      <c r="R33" s="6">
        <f t="shared" si="24"/>
        <v>0</v>
      </c>
      <c r="S33" s="2"/>
      <c r="T33" s="7">
        <v>10030.450000000001</v>
      </c>
      <c r="U33" s="2"/>
      <c r="V33" s="6">
        <f t="shared" si="25"/>
        <v>3.8780461401060129</v>
      </c>
      <c r="W33" s="2"/>
      <c r="X33" s="7">
        <f t="shared" si="26"/>
        <v>-10030.450000000001</v>
      </c>
      <c r="Y33" s="2"/>
      <c r="Z33" s="6">
        <f t="shared" si="27"/>
        <v>-1</v>
      </c>
    </row>
    <row r="34" spans="1:26" s="24" customFormat="1" hidden="1" outlineLevel="2" x14ac:dyDescent="0.25">
      <c r="A34" s="28"/>
      <c r="B34" s="11" t="str">
        <f>CONCATENATE("          ", "6114", " - ", "STATE UNEMPLOYMENT INSURANCE")</f>
        <v xml:space="preserve">          6114 - STATE UNEMPLOYMENT INSURANCE</v>
      </c>
      <c r="C34" s="11"/>
      <c r="D34" s="7">
        <v>12.97</v>
      </c>
      <c r="E34" s="2"/>
      <c r="F34" s="6">
        <f t="shared" si="20"/>
        <v>8.0494510609511636E-4</v>
      </c>
      <c r="G34" s="2"/>
      <c r="H34" s="7">
        <v>22.98</v>
      </c>
      <c r="I34" s="2"/>
      <c r="J34" s="6">
        <f t="shared" si="21"/>
        <v>1.3038519804592421E-2</v>
      </c>
      <c r="K34" s="2"/>
      <c r="L34" s="7">
        <f t="shared" si="22"/>
        <v>-10.01</v>
      </c>
      <c r="M34" s="2"/>
      <c r="N34" s="6">
        <f t="shared" si="23"/>
        <v>-0.43559617058311573</v>
      </c>
      <c r="O34" s="11"/>
      <c r="P34" s="7">
        <v>18.68</v>
      </c>
      <c r="Q34" s="2"/>
      <c r="R34" s="6">
        <f t="shared" si="24"/>
        <v>8.2008811996115566E-4</v>
      </c>
      <c r="S34" s="2"/>
      <c r="T34" s="7">
        <v>69.819999999999993</v>
      </c>
      <c r="U34" s="2"/>
      <c r="V34" s="6">
        <f t="shared" si="25"/>
        <v>2.6994320444466778E-2</v>
      </c>
      <c r="W34" s="2"/>
      <c r="X34" s="7">
        <f t="shared" si="26"/>
        <v>-51.139999999999993</v>
      </c>
      <c r="Y34" s="2"/>
      <c r="Z34" s="6">
        <f t="shared" si="27"/>
        <v>-0.73245488398739611</v>
      </c>
    </row>
    <row r="35" spans="1:26" s="24" customFormat="1" hidden="1" outlineLevel="2" x14ac:dyDescent="0.25">
      <c r="A35" s="28"/>
      <c r="B35" s="11" t="str">
        <f>CONCATENATE("          ", "6115", " - ", "P.E.R.S.")</f>
        <v xml:space="preserve">          6115 - P.E.R.S.</v>
      </c>
      <c r="C35" s="11"/>
      <c r="D35" s="7"/>
      <c r="E35" s="2"/>
      <c r="F35" s="6">
        <f t="shared" si="20"/>
        <v>0</v>
      </c>
      <c r="G35" s="2"/>
      <c r="H35" s="7">
        <v>935.63</v>
      </c>
      <c r="I35" s="2"/>
      <c r="J35" s="6">
        <f t="shared" si="21"/>
        <v>0.53086293667409945</v>
      </c>
      <c r="K35" s="2"/>
      <c r="L35" s="7">
        <f t="shared" si="22"/>
        <v>-935.63</v>
      </c>
      <c r="M35" s="2"/>
      <c r="N35" s="6">
        <f t="shared" si="23"/>
        <v>-1</v>
      </c>
      <c r="O35" s="11"/>
      <c r="P35" s="7"/>
      <c r="Q35" s="2"/>
      <c r="R35" s="6">
        <f t="shared" si="24"/>
        <v>0</v>
      </c>
      <c r="S35" s="2"/>
      <c r="T35" s="7">
        <v>3733.59</v>
      </c>
      <c r="U35" s="2"/>
      <c r="V35" s="6">
        <f t="shared" si="25"/>
        <v>1.4435079471248458</v>
      </c>
      <c r="W35" s="2"/>
      <c r="X35" s="7">
        <f t="shared" si="26"/>
        <v>-3733.59</v>
      </c>
      <c r="Y35" s="2"/>
      <c r="Z35" s="6">
        <f t="shared" si="27"/>
        <v>-1</v>
      </c>
    </row>
    <row r="36" spans="1:26" s="24" customFormat="1" hidden="1" outlineLevel="2" x14ac:dyDescent="0.25">
      <c r="A36" s="28"/>
      <c r="B36" s="11" t="str">
        <f>CONCATENATE("          ", "6118", " - ", "VACATION")</f>
        <v xml:space="preserve">          6118 - VACATION</v>
      </c>
      <c r="C36" s="11"/>
      <c r="D36" s="7"/>
      <c r="E36" s="2"/>
      <c r="F36" s="6">
        <f t="shared" si="20"/>
        <v>0</v>
      </c>
      <c r="G36" s="2"/>
      <c r="H36" s="7">
        <v>646.78</v>
      </c>
      <c r="I36" s="2"/>
      <c r="J36" s="6">
        <f t="shared" si="21"/>
        <v>0.36697362224605246</v>
      </c>
      <c r="K36" s="2"/>
      <c r="L36" s="7">
        <f t="shared" si="22"/>
        <v>-646.78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2092.44</v>
      </c>
      <c r="U36" s="2"/>
      <c r="V36" s="6">
        <f t="shared" si="25"/>
        <v>0.80899449829304027</v>
      </c>
      <c r="W36" s="2"/>
      <c r="X36" s="7">
        <f t="shared" si="26"/>
        <v>-2092.44</v>
      </c>
      <c r="Y36" s="2"/>
      <c r="Z36" s="6">
        <f t="shared" si="27"/>
        <v>-1</v>
      </c>
    </row>
    <row r="37" spans="1:26" s="24" customFormat="1" hidden="1" outlineLevel="2" x14ac:dyDescent="0.25">
      <c r="A37" s="28"/>
      <c r="B37" s="11" t="str">
        <f>CONCATENATE("          ", "6119", " - ", "SICK LEAVE")</f>
        <v xml:space="preserve">          6119 - SICK LEAVE</v>
      </c>
      <c r="C37" s="11"/>
      <c r="D37" s="7"/>
      <c r="E37" s="2"/>
      <c r="F37" s="6">
        <f t="shared" si="20"/>
        <v>0</v>
      </c>
      <c r="G37" s="2"/>
      <c r="H37" s="7">
        <v>448.64</v>
      </c>
      <c r="I37" s="2"/>
      <c r="J37" s="6">
        <f t="shared" si="21"/>
        <v>0.25455185052795226</v>
      </c>
      <c r="K37" s="2"/>
      <c r="L37" s="7">
        <f t="shared" si="22"/>
        <v>-448.64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1549.9</v>
      </c>
      <c r="U37" s="2"/>
      <c r="V37" s="6">
        <f t="shared" si="25"/>
        <v>0.59923370462444947</v>
      </c>
      <c r="W37" s="2"/>
      <c r="X37" s="7">
        <f t="shared" si="26"/>
        <v>-1549.9</v>
      </c>
      <c r="Y37" s="2"/>
      <c r="Z37" s="6">
        <f t="shared" si="27"/>
        <v>-1</v>
      </c>
    </row>
    <row r="38" spans="1:26" s="24" customFormat="1" hidden="1" outlineLevel="2" x14ac:dyDescent="0.25">
      <c r="A38" s="28"/>
      <c r="B38" s="11" t="str">
        <f>CONCATENATE("          ", "6156", " - ", "EMPLOYEE MEALS")</f>
        <v xml:space="preserve">          6156 - EMPLOYEE MEALS</v>
      </c>
      <c r="C38" s="11"/>
      <c r="D38" s="7"/>
      <c r="E38" s="2"/>
      <c r="F38" s="6">
        <f t="shared" si="20"/>
        <v>0</v>
      </c>
      <c r="G38" s="2"/>
      <c r="H38" s="7">
        <v>290.47000000000003</v>
      </c>
      <c r="I38" s="2"/>
      <c r="J38" s="6">
        <f t="shared" si="21"/>
        <v>0.16480847900957182</v>
      </c>
      <c r="K38" s="2"/>
      <c r="L38" s="7">
        <f t="shared" si="22"/>
        <v>-290.47000000000003</v>
      </c>
      <c r="M38" s="2"/>
      <c r="N38" s="6">
        <f t="shared" si="23"/>
        <v>-1</v>
      </c>
      <c r="O38" s="11"/>
      <c r="P38" s="7">
        <v>78.08</v>
      </c>
      <c r="Q38" s="2"/>
      <c r="R38" s="6">
        <f t="shared" si="24"/>
        <v>3.4278629767969505E-3</v>
      </c>
      <c r="S38" s="2"/>
      <c r="T38" s="7">
        <v>641.17999999999995</v>
      </c>
      <c r="U38" s="2"/>
      <c r="V38" s="6">
        <f t="shared" si="25"/>
        <v>0.24789771387257531</v>
      </c>
      <c r="W38" s="2"/>
      <c r="X38" s="7">
        <f t="shared" si="26"/>
        <v>-563.09999999999991</v>
      </c>
      <c r="Y38" s="2"/>
      <c r="Z38" s="6">
        <f t="shared" si="27"/>
        <v>-0.87822452353473279</v>
      </c>
    </row>
    <row r="39" spans="1:26" s="27" customFormat="1" outlineLevel="1" collapsed="1" x14ac:dyDescent="0.25">
      <c r="A39" s="29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4434.13</v>
      </c>
      <c r="E39" s="1"/>
      <c r="F39" s="5">
        <f t="shared" ref="F39:F42" si="28">IF(D$12=0,0,D39/D$12)</f>
        <v>0.27519130634460587</v>
      </c>
      <c r="G39" s="1"/>
      <c r="H39" s="1">
        <f>SUM(OSRRefH22_1x_0)</f>
        <v>10821.800000000001</v>
      </c>
      <c r="I39" s="1"/>
      <c r="J39" s="5">
        <f t="shared" ref="J39:J42" si="29">IF(H$12=0,0,H39/H$12)</f>
        <v>6.1401328816944414</v>
      </c>
      <c r="K39" s="1"/>
      <c r="L39" s="1">
        <f t="shared" ref="L39:L42" si="30">+D39-H39</f>
        <v>-6387.670000000001</v>
      </c>
      <c r="M39" s="1"/>
      <c r="N39" s="5">
        <f t="shared" ref="N39:N42" si="31">IF(H39=0,0,L39/H39)</f>
        <v>-0.59025947624239961</v>
      </c>
      <c r="O39" s="14"/>
      <c r="P39" s="1">
        <f>SUM(OSRRefP22_1x_0)</f>
        <v>8060.7900000000009</v>
      </c>
      <c r="Q39" s="1"/>
      <c r="R39" s="5">
        <f t="shared" ref="R39:R42" si="32">IF(P$12=0,0,P39/P$12)</f>
        <v>0.35388426747867691</v>
      </c>
      <c r="S39" s="1"/>
      <c r="T39" s="1">
        <f>SUM(OSRRefT22_1x_0)</f>
        <v>32472.489999999998</v>
      </c>
      <c r="U39" s="1"/>
      <c r="V39" s="5">
        <f t="shared" ref="V39:V42" si="33">IF(T$12=0,0,T39/T$12)</f>
        <v>12.554752229873145</v>
      </c>
      <c r="W39" s="1"/>
      <c r="X39" s="1">
        <f t="shared" ref="X39:X42" si="34">+P39-T39</f>
        <v>-24411.699999999997</v>
      </c>
      <c r="Y39" s="1"/>
      <c r="Z39" s="5">
        <f t="shared" ref="Z39:Z42" si="35">IF(T39=0,0,X39/T39)</f>
        <v>-0.75176557141137001</v>
      </c>
    </row>
    <row r="40" spans="1:26" s="24" customFormat="1" hidden="1" outlineLevel="2" x14ac:dyDescent="0.25">
      <c r="A40" s="28"/>
      <c r="B40" s="11" t="str">
        <f>CONCATENATE("          ", "6002", " - ", "STAFF SALARIES")</f>
        <v xml:space="preserve">          6002 - STAFF SALARIES</v>
      </c>
      <c r="C40" s="11"/>
      <c r="D40" s="7"/>
      <c r="E40" s="2"/>
      <c r="F40" s="6">
        <f t="shared" si="28"/>
        <v>0</v>
      </c>
      <c r="G40" s="2"/>
      <c r="H40" s="7">
        <v>9344.7000000000007</v>
      </c>
      <c r="I40" s="2"/>
      <c r="J40" s="6">
        <f t="shared" si="29"/>
        <v>5.3020476944288424</v>
      </c>
      <c r="K40" s="2"/>
      <c r="L40" s="7">
        <f t="shared" si="30"/>
        <v>-9344.7000000000007</v>
      </c>
      <c r="M40" s="2"/>
      <c r="N40" s="6">
        <f t="shared" si="31"/>
        <v>-1</v>
      </c>
      <c r="O40" s="11"/>
      <c r="P40" s="7"/>
      <c r="Q40" s="2"/>
      <c r="R40" s="6">
        <f t="shared" si="32"/>
        <v>0</v>
      </c>
      <c r="S40" s="2"/>
      <c r="T40" s="7">
        <v>30340.39</v>
      </c>
      <c r="U40" s="2"/>
      <c r="V40" s="6">
        <f t="shared" si="33"/>
        <v>11.730424091522421</v>
      </c>
      <c r="W40" s="2"/>
      <c r="X40" s="7">
        <f t="shared" si="34"/>
        <v>-30340.39</v>
      </c>
      <c r="Y40" s="2"/>
      <c r="Z40" s="6">
        <f t="shared" si="35"/>
        <v>-1</v>
      </c>
    </row>
    <row r="41" spans="1:26" s="24" customFormat="1" hidden="1" outlineLevel="2" x14ac:dyDescent="0.25">
      <c r="A41" s="28"/>
      <c r="B41" s="11" t="str">
        <f>CONCATENATE("          ", "6005", " - ", "TEMPORARY WAGES-HOURLY")</f>
        <v xml:space="preserve">          6005 - TEMPORARY WAGES-HOURLY</v>
      </c>
      <c r="C41" s="11"/>
      <c r="D41" s="7">
        <v>2137.8000000000002</v>
      </c>
      <c r="E41" s="2"/>
      <c r="F41" s="6">
        <f t="shared" si="28"/>
        <v>0.13267630283809867</v>
      </c>
      <c r="G41" s="2"/>
      <c r="H41" s="7">
        <v>1784.1</v>
      </c>
      <c r="I41" s="2"/>
      <c r="J41" s="6">
        <f t="shared" si="29"/>
        <v>1.0122725493199884</v>
      </c>
      <c r="K41" s="2"/>
      <c r="L41" s="7">
        <f t="shared" si="30"/>
        <v>353.70000000000027</v>
      </c>
      <c r="M41" s="2"/>
      <c r="N41" s="6">
        <f t="shared" si="31"/>
        <v>0.19825121910206844</v>
      </c>
      <c r="O41" s="11"/>
      <c r="P41" s="7">
        <v>3486.9</v>
      </c>
      <c r="Q41" s="2"/>
      <c r="R41" s="6">
        <f t="shared" si="32"/>
        <v>0.15308165232829518</v>
      </c>
      <c r="S41" s="2"/>
      <c r="T41" s="7">
        <v>1784.1</v>
      </c>
      <c r="U41" s="2"/>
      <c r="V41" s="6">
        <f t="shared" si="33"/>
        <v>0.68978182619554829</v>
      </c>
      <c r="W41" s="2"/>
      <c r="X41" s="7">
        <f t="shared" si="34"/>
        <v>1702.8000000000002</v>
      </c>
      <c r="Y41" s="2"/>
      <c r="Z41" s="6">
        <f t="shared" si="35"/>
        <v>0.95443080544812531</v>
      </c>
    </row>
    <row r="42" spans="1:26" s="24" customFormat="1" hidden="1" outlineLevel="2" x14ac:dyDescent="0.25">
      <c r="A42" s="28"/>
      <c r="B42" s="11" t="str">
        <f>CONCATENATE("          ", "6007", " - ", "STUDENT HOURLY")</f>
        <v xml:space="preserve">          6007 - STUDENT HOURLY</v>
      </c>
      <c r="C42" s="11"/>
      <c r="D42" s="7">
        <v>2296.33</v>
      </c>
      <c r="E42" s="2"/>
      <c r="F42" s="6">
        <f t="shared" si="28"/>
        <v>0.1425150035065072</v>
      </c>
      <c r="G42" s="2"/>
      <c r="H42" s="7">
        <v>-307</v>
      </c>
      <c r="I42" s="2"/>
      <c r="J42" s="6">
        <f t="shared" si="29"/>
        <v>-0.17418736205438959</v>
      </c>
      <c r="K42" s="2"/>
      <c r="L42" s="7">
        <f t="shared" si="30"/>
        <v>2603.33</v>
      </c>
      <c r="M42" s="2"/>
      <c r="N42" s="6">
        <f t="shared" si="31"/>
        <v>-8.4799022801302932</v>
      </c>
      <c r="O42" s="11"/>
      <c r="P42" s="7">
        <v>4573.8900000000003</v>
      </c>
      <c r="Q42" s="2"/>
      <c r="R42" s="6">
        <f t="shared" si="32"/>
        <v>0.20080261515038172</v>
      </c>
      <c r="S42" s="2"/>
      <c r="T42" s="7">
        <v>348</v>
      </c>
      <c r="U42" s="2"/>
      <c r="V42" s="6">
        <f t="shared" si="33"/>
        <v>0.13454631215517673</v>
      </c>
      <c r="W42" s="2"/>
      <c r="X42" s="7">
        <f t="shared" si="34"/>
        <v>4225.8900000000003</v>
      </c>
      <c r="Y42" s="2"/>
      <c r="Z42" s="6">
        <f t="shared" si="35"/>
        <v>12.143362068965518</v>
      </c>
    </row>
    <row r="43" spans="1:26" s="27" customFormat="1" outlineLevel="1" collapsed="1" x14ac:dyDescent="0.25">
      <c r="A43" s="29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1" si="36">IF(D$12=0,0,D43/D$12)</f>
        <v>0</v>
      </c>
      <c r="G43" s="1"/>
      <c r="H43" s="1">
        <f>SUM(OSRRefH22_2x_0)</f>
        <v>0</v>
      </c>
      <c r="I43" s="1"/>
      <c r="J43" s="5">
        <f t="shared" ref="J43:J51" si="37">IF(H$12=0,0,H43/H$12)</f>
        <v>0</v>
      </c>
      <c r="K43" s="1"/>
      <c r="L43" s="1">
        <f t="shared" ref="L43:L51" si="38">+D43-H43</f>
        <v>0</v>
      </c>
      <c r="M43" s="1"/>
      <c r="N43" s="5">
        <f t="shared" ref="N43:N51" si="39">IF(H43=0,0,L43/H43)</f>
        <v>0</v>
      </c>
      <c r="O43" s="14"/>
      <c r="P43" s="1">
        <f>SUM(OSRRefP22_2x_0)</f>
        <v>87.97</v>
      </c>
      <c r="Q43" s="1"/>
      <c r="R43" s="5">
        <f t="shared" ref="R43:R51" si="40">IF(P$12=0,0,P43/P$12)</f>
        <v>3.8620531002667487E-3</v>
      </c>
      <c r="S43" s="1"/>
      <c r="T43" s="1">
        <f>SUM(OSRRefT22_2x_0)</f>
        <v>0</v>
      </c>
      <c r="U43" s="1"/>
      <c r="V43" s="5">
        <f t="shared" ref="V43:V51" si="41">IF(T$12=0,0,T43/T$12)</f>
        <v>0</v>
      </c>
      <c r="W43" s="1"/>
      <c r="X43" s="1">
        <f t="shared" ref="X43:X51" si="42">+P43-T43</f>
        <v>87.97</v>
      </c>
      <c r="Y43" s="1"/>
      <c r="Z43" s="5">
        <f t="shared" ref="Z43:Z51" si="43">IF(T43=0,0,X43/T43)</f>
        <v>0</v>
      </c>
    </row>
    <row r="44" spans="1:26" s="24" customFormat="1" hidden="1" outlineLevel="2" x14ac:dyDescent="0.25">
      <c r="A44" s="28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36"/>
        <v>0</v>
      </c>
      <c r="G44" s="2"/>
      <c r="H44" s="7"/>
      <c r="I44" s="2"/>
      <c r="J44" s="6">
        <f t="shared" si="37"/>
        <v>0</v>
      </c>
      <c r="K44" s="2"/>
      <c r="L44" s="7">
        <f t="shared" si="38"/>
        <v>0</v>
      </c>
      <c r="M44" s="2"/>
      <c r="N44" s="6">
        <f t="shared" si="39"/>
        <v>0</v>
      </c>
      <c r="O44" s="11"/>
      <c r="P44" s="7">
        <v>87.97</v>
      </c>
      <c r="Q44" s="2"/>
      <c r="R44" s="6">
        <f t="shared" si="40"/>
        <v>3.8620531002667487E-3</v>
      </c>
      <c r="S44" s="2"/>
      <c r="T44" s="7"/>
      <c r="U44" s="2"/>
      <c r="V44" s="6">
        <f t="shared" si="41"/>
        <v>0</v>
      </c>
      <c r="W44" s="2"/>
      <c r="X44" s="7">
        <f t="shared" si="42"/>
        <v>87.97</v>
      </c>
      <c r="Y44" s="2"/>
      <c r="Z44" s="6">
        <f t="shared" si="43"/>
        <v>0</v>
      </c>
    </row>
    <row r="45" spans="1:26" s="27" customFormat="1" outlineLevel="1" collapsed="1" x14ac:dyDescent="0.25">
      <c r="A45" s="29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SUM(OSRRefD22_3x_0)</f>
        <v>15.79</v>
      </c>
      <c r="E45" s="1"/>
      <c r="F45" s="5">
        <f t="shared" si="36"/>
        <v>9.7996015614817945E-4</v>
      </c>
      <c r="G45" s="1"/>
      <c r="H45" s="1">
        <f>SUM(OSRRefH22_3x_0)</f>
        <v>-0.44</v>
      </c>
      <c r="I45" s="1"/>
      <c r="J45" s="5">
        <f t="shared" si="37"/>
        <v>-2.496496394264867E-4</v>
      </c>
      <c r="K45" s="1"/>
      <c r="L45" s="1">
        <f t="shared" si="38"/>
        <v>16.23</v>
      </c>
      <c r="M45" s="1"/>
      <c r="N45" s="5">
        <f t="shared" si="39"/>
        <v>-36.88636363636364</v>
      </c>
      <c r="O45" s="14"/>
      <c r="P45" s="1">
        <f>SUM(OSRRefP22_3x_0)</f>
        <v>14.49</v>
      </c>
      <c r="Q45" s="1"/>
      <c r="R45" s="5">
        <f t="shared" si="40"/>
        <v>6.3613901810691362E-4</v>
      </c>
      <c r="S45" s="1"/>
      <c r="T45" s="1">
        <f>SUM(OSRRefT22_3x_0)</f>
        <v>3.31</v>
      </c>
      <c r="U45" s="1"/>
      <c r="V45" s="5">
        <f t="shared" si="41"/>
        <v>1.2797364748092959E-3</v>
      </c>
      <c r="W45" s="1"/>
      <c r="X45" s="1">
        <f t="shared" si="42"/>
        <v>11.18</v>
      </c>
      <c r="Y45" s="1"/>
      <c r="Z45" s="5">
        <f t="shared" si="43"/>
        <v>3.3776435045317221</v>
      </c>
    </row>
    <row r="46" spans="1:26" s="24" customFormat="1" hidden="1" outlineLevel="2" x14ac:dyDescent="0.25">
      <c r="A46" s="28"/>
      <c r="B46" s="11" t="str">
        <f>CONCATENATE("          ", "6272", " - ", "CASH (OVER/SHORT)")</f>
        <v xml:space="preserve">          6272 - CASH (OVER/SHORT)</v>
      </c>
      <c r="C46" s="11"/>
      <c r="D46" s="7">
        <v>15.79</v>
      </c>
      <c r="E46" s="2"/>
      <c r="F46" s="6">
        <f t="shared" si="36"/>
        <v>9.7996015614817945E-4</v>
      </c>
      <c r="G46" s="2"/>
      <c r="H46" s="7">
        <v>-0.44</v>
      </c>
      <c r="I46" s="2"/>
      <c r="J46" s="6">
        <f t="shared" si="37"/>
        <v>-2.496496394264867E-4</v>
      </c>
      <c r="K46" s="2"/>
      <c r="L46" s="7">
        <f t="shared" si="38"/>
        <v>16.23</v>
      </c>
      <c r="M46" s="2"/>
      <c r="N46" s="6">
        <f t="shared" si="39"/>
        <v>-36.88636363636364</v>
      </c>
      <c r="O46" s="11"/>
      <c r="P46" s="7">
        <v>14.49</v>
      </c>
      <c r="Q46" s="2"/>
      <c r="R46" s="6">
        <f t="shared" si="40"/>
        <v>6.3613901810691362E-4</v>
      </c>
      <c r="S46" s="2"/>
      <c r="T46" s="7">
        <v>3.31</v>
      </c>
      <c r="U46" s="2"/>
      <c r="V46" s="6">
        <f t="shared" si="41"/>
        <v>1.2797364748092959E-3</v>
      </c>
      <c r="W46" s="2"/>
      <c r="X46" s="7">
        <f t="shared" si="42"/>
        <v>11.18</v>
      </c>
      <c r="Y46" s="2"/>
      <c r="Z46" s="6">
        <f t="shared" si="43"/>
        <v>3.3776435045317221</v>
      </c>
    </row>
    <row r="47" spans="1:26" s="27" customFormat="1" outlineLevel="1" collapsed="1" x14ac:dyDescent="0.25">
      <c r="A47" s="29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SUM(OSRRefD22_4x_0)</f>
        <v>1041.94</v>
      </c>
      <c r="E47" s="1"/>
      <c r="F47" s="5">
        <f t="shared" si="36"/>
        <v>6.466495789088246E-2</v>
      </c>
      <c r="G47" s="1"/>
      <c r="H47" s="1">
        <f>SUM(OSRRefH22_4x_0)</f>
        <v>110.18</v>
      </c>
      <c r="I47" s="1"/>
      <c r="J47" s="5">
        <f t="shared" si="37"/>
        <v>6.2514539254568888E-2</v>
      </c>
      <c r="K47" s="1"/>
      <c r="L47" s="1">
        <f t="shared" si="38"/>
        <v>931.76</v>
      </c>
      <c r="M47" s="1"/>
      <c r="N47" s="5">
        <f t="shared" si="39"/>
        <v>8.4567072063895434</v>
      </c>
      <c r="O47" s="14"/>
      <c r="P47" s="1">
        <f>SUM(OSRRefP22_4x_0)</f>
        <v>1536.96</v>
      </c>
      <c r="Q47" s="1"/>
      <c r="R47" s="5">
        <f t="shared" si="40"/>
        <v>6.7475515891621943E-2</v>
      </c>
      <c r="S47" s="1"/>
      <c r="T47" s="1">
        <f>SUM(OSRRefT22_4x_0)</f>
        <v>230.18</v>
      </c>
      <c r="U47" s="1"/>
      <c r="V47" s="5">
        <f t="shared" si="41"/>
        <v>8.8993879689306263E-2</v>
      </c>
      <c r="W47" s="1"/>
      <c r="X47" s="1">
        <f t="shared" si="42"/>
        <v>1306.78</v>
      </c>
      <c r="Y47" s="1"/>
      <c r="Z47" s="5">
        <f t="shared" si="43"/>
        <v>5.6772091406725167</v>
      </c>
    </row>
    <row r="48" spans="1:26" s="24" customFormat="1" hidden="1" outlineLevel="2" x14ac:dyDescent="0.25">
      <c r="A48" s="28"/>
      <c r="B48" s="11" t="str">
        <f>CONCATENATE("          ", "6381", " - ", "BANK/CREDIT CARD FEES")</f>
        <v xml:space="preserve">          6381 - BANK/CREDIT CARD FEES</v>
      </c>
      <c r="C48" s="11"/>
      <c r="D48" s="7">
        <v>1041.94</v>
      </c>
      <c r="E48" s="2"/>
      <c r="F48" s="6">
        <f t="shared" si="36"/>
        <v>6.466495789088246E-2</v>
      </c>
      <c r="G48" s="2"/>
      <c r="H48" s="7">
        <v>110.18</v>
      </c>
      <c r="I48" s="2"/>
      <c r="J48" s="6">
        <f t="shared" si="37"/>
        <v>6.2514539254568888E-2</v>
      </c>
      <c r="K48" s="2"/>
      <c r="L48" s="7">
        <f t="shared" si="38"/>
        <v>931.76</v>
      </c>
      <c r="M48" s="2"/>
      <c r="N48" s="6">
        <f t="shared" si="39"/>
        <v>8.4567072063895434</v>
      </c>
      <c r="O48" s="11"/>
      <c r="P48" s="7">
        <v>1536.96</v>
      </c>
      <c r="Q48" s="2"/>
      <c r="R48" s="6">
        <f t="shared" si="40"/>
        <v>6.7475515891621943E-2</v>
      </c>
      <c r="S48" s="2"/>
      <c r="T48" s="7">
        <v>230.18</v>
      </c>
      <c r="U48" s="2"/>
      <c r="V48" s="6">
        <f t="shared" si="41"/>
        <v>8.8993879689306263E-2</v>
      </c>
      <c r="W48" s="2"/>
      <c r="X48" s="7">
        <f t="shared" si="42"/>
        <v>1306.78</v>
      </c>
      <c r="Y48" s="2"/>
      <c r="Z48" s="6">
        <f t="shared" si="43"/>
        <v>5.6772091406725167</v>
      </c>
    </row>
    <row r="49" spans="1:26" s="27" customFormat="1" outlineLevel="1" collapsed="1" x14ac:dyDescent="0.25">
      <c r="A49" s="29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7135.5300000000007</v>
      </c>
      <c r="E49" s="1"/>
      <c r="F49" s="5">
        <f t="shared" si="36"/>
        <v>0.44284579436352245</v>
      </c>
      <c r="G49" s="1"/>
      <c r="H49" s="1">
        <f>SUM(OSRRefH22_5x_0)</f>
        <v>9263.4700000000012</v>
      </c>
      <c r="I49" s="1"/>
      <c r="J49" s="5">
        <f t="shared" si="37"/>
        <v>5.255958966677448</v>
      </c>
      <c r="K49" s="1"/>
      <c r="L49" s="1">
        <f t="shared" si="38"/>
        <v>-2127.9400000000005</v>
      </c>
      <c r="M49" s="1"/>
      <c r="N49" s="5">
        <f t="shared" si="39"/>
        <v>-0.22971305569079409</v>
      </c>
      <c r="O49" s="14"/>
      <c r="P49" s="1">
        <f>SUM(OSRRefP22_5x_0)</f>
        <v>21406.61</v>
      </c>
      <c r="Q49" s="1"/>
      <c r="R49" s="5">
        <f t="shared" si="40"/>
        <v>0.93979157117996115</v>
      </c>
      <c r="S49" s="1"/>
      <c r="T49" s="1">
        <f>SUM(OSRRefT22_5x_0)</f>
        <v>27526.190000000002</v>
      </c>
      <c r="U49" s="1"/>
      <c r="V49" s="5">
        <f t="shared" si="41"/>
        <v>10.642377448800875</v>
      </c>
      <c r="W49" s="1"/>
      <c r="X49" s="1">
        <f t="shared" si="42"/>
        <v>-6119.5800000000017</v>
      </c>
      <c r="Y49" s="1"/>
      <c r="Z49" s="5">
        <f t="shared" si="43"/>
        <v>-0.2223184538070834</v>
      </c>
    </row>
    <row r="50" spans="1:26" s="24" customFormat="1" hidden="1" outlineLevel="2" x14ac:dyDescent="0.25">
      <c r="A50" s="28"/>
      <c r="B50" s="11" t="str">
        <f>CONCATENATE("          ", "6321", " - ", "BUILDING DEPRECIATION")</f>
        <v xml:space="preserve">          6321 - BUILDING DEPRECIATION</v>
      </c>
      <c r="C50" s="11"/>
      <c r="D50" s="7">
        <v>5080.51</v>
      </c>
      <c r="E50" s="2"/>
      <c r="F50" s="6">
        <f t="shared" si="36"/>
        <v>0.31530699005144947</v>
      </c>
      <c r="G50" s="2"/>
      <c r="H50" s="7">
        <v>5080.51</v>
      </c>
      <c r="I50" s="2"/>
      <c r="J50" s="6">
        <f t="shared" si="37"/>
        <v>2.8826079309151367</v>
      </c>
      <c r="K50" s="2"/>
      <c r="L50" s="7">
        <f t="shared" si="38"/>
        <v>0</v>
      </c>
      <c r="M50" s="2"/>
      <c r="N50" s="6">
        <f t="shared" si="39"/>
        <v>0</v>
      </c>
      <c r="O50" s="11"/>
      <c r="P50" s="7">
        <v>15241.53</v>
      </c>
      <c r="Q50" s="2"/>
      <c r="R50" s="6">
        <f t="shared" si="40"/>
        <v>0.66913263827792047</v>
      </c>
      <c r="S50" s="2"/>
      <c r="T50" s="7">
        <v>15241.53</v>
      </c>
      <c r="U50" s="2"/>
      <c r="V50" s="6">
        <f t="shared" si="41"/>
        <v>5.8927921066163531</v>
      </c>
      <c r="W50" s="2"/>
      <c r="X50" s="7">
        <f t="shared" si="42"/>
        <v>0</v>
      </c>
      <c r="Y50" s="2"/>
      <c r="Z50" s="6">
        <f t="shared" si="43"/>
        <v>0</v>
      </c>
    </row>
    <row r="51" spans="1:26" s="24" customFormat="1" hidden="1" outlineLevel="2" x14ac:dyDescent="0.25">
      <c r="A51" s="28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2055.02</v>
      </c>
      <c r="E51" s="2"/>
      <c r="F51" s="6">
        <f t="shared" si="36"/>
        <v>0.12753880431207293</v>
      </c>
      <c r="G51" s="2"/>
      <c r="H51" s="7">
        <v>4182.96</v>
      </c>
      <c r="I51" s="2"/>
      <c r="J51" s="6">
        <f t="shared" si="37"/>
        <v>2.3733510357623113</v>
      </c>
      <c r="K51" s="2"/>
      <c r="L51" s="7">
        <f t="shared" si="38"/>
        <v>-2127.94</v>
      </c>
      <c r="M51" s="2"/>
      <c r="N51" s="6">
        <f t="shared" si="39"/>
        <v>-0.50871631571901244</v>
      </c>
      <c r="O51" s="11"/>
      <c r="P51" s="7">
        <v>6165.08</v>
      </c>
      <c r="Q51" s="2"/>
      <c r="R51" s="6">
        <f t="shared" si="40"/>
        <v>0.27065893290204079</v>
      </c>
      <c r="S51" s="2"/>
      <c r="T51" s="7">
        <v>12284.66</v>
      </c>
      <c r="U51" s="2"/>
      <c r="V51" s="6">
        <f t="shared" si="41"/>
        <v>4.7495853421845213</v>
      </c>
      <c r="W51" s="2"/>
      <c r="X51" s="7">
        <f t="shared" si="42"/>
        <v>-6119.58</v>
      </c>
      <c r="Y51" s="2"/>
      <c r="Z51" s="6">
        <f t="shared" si="43"/>
        <v>-0.49814809689482653</v>
      </c>
    </row>
    <row r="52" spans="1:26" s="27" customFormat="1" outlineLevel="1" collapsed="1" x14ac:dyDescent="0.25">
      <c r="A52" s="29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SUM(OSRRefD22_6x_0)</f>
        <v>0</v>
      </c>
      <c r="E52" s="1"/>
      <c r="F52" s="5">
        <f t="shared" ref="F52:F62" si="44">IF(D$12=0,0,D52/D$12)</f>
        <v>0</v>
      </c>
      <c r="G52" s="1"/>
      <c r="H52" s="1">
        <f>SUM(OSRRefH22_6x_0)</f>
        <v>6.06</v>
      </c>
      <c r="I52" s="1"/>
      <c r="J52" s="5">
        <f t="shared" ref="J52:J62" si="45">IF(H$12=0,0,H52/H$12)</f>
        <v>3.4383563975557033E-3</v>
      </c>
      <c r="K52" s="1"/>
      <c r="L52" s="1">
        <f t="shared" ref="L52:L62" si="46">+D52-H52</f>
        <v>-6.06</v>
      </c>
      <c r="M52" s="1"/>
      <c r="N52" s="5">
        <f t="shared" ref="N52:N62" si="47">IF(H52=0,0,L52/H52)</f>
        <v>-1</v>
      </c>
      <c r="O52" s="14"/>
      <c r="P52" s="1">
        <f>SUM(OSRRefP22_6x_0)</f>
        <v>0</v>
      </c>
      <c r="Q52" s="1"/>
      <c r="R52" s="5">
        <f t="shared" ref="R52:R62" si="48">IF(P$12=0,0,P52/P$12)</f>
        <v>0</v>
      </c>
      <c r="S52" s="1"/>
      <c r="T52" s="1">
        <f>SUM(OSRRefT22_6x_0)</f>
        <v>10</v>
      </c>
      <c r="U52" s="1"/>
      <c r="V52" s="5">
        <f t="shared" ref="V52:V62" si="49">IF(T$12=0,0,T52/T$12)</f>
        <v>3.866273337792435E-3</v>
      </c>
      <c r="W52" s="1"/>
      <c r="X52" s="1">
        <f t="shared" ref="X52:X62" si="50">+P52-T52</f>
        <v>-10</v>
      </c>
      <c r="Y52" s="1"/>
      <c r="Z52" s="5">
        <f t="shared" ref="Z52:Z62" si="51">IF(T52=0,0,X52/T52)</f>
        <v>-1</v>
      </c>
    </row>
    <row r="53" spans="1:26" s="24" customFormat="1" hidden="1" outlineLevel="2" x14ac:dyDescent="0.25">
      <c r="A53" s="28"/>
      <c r="B53" s="11" t="str">
        <f>CONCATENATE("          ", "6305", " - ", "FREIGHT OUT")</f>
        <v xml:space="preserve">          6305 - FREIGHT OUT</v>
      </c>
      <c r="C53" s="11"/>
      <c r="D53" s="7"/>
      <c r="E53" s="2"/>
      <c r="F53" s="6">
        <f t="shared" si="44"/>
        <v>0</v>
      </c>
      <c r="G53" s="2"/>
      <c r="H53" s="7">
        <v>6.06</v>
      </c>
      <c r="I53" s="2"/>
      <c r="J53" s="6">
        <f t="shared" si="45"/>
        <v>3.4383563975557033E-3</v>
      </c>
      <c r="K53" s="2"/>
      <c r="L53" s="7">
        <f t="shared" si="46"/>
        <v>-6.06</v>
      </c>
      <c r="M53" s="2"/>
      <c r="N53" s="6">
        <f t="shared" si="47"/>
        <v>-1</v>
      </c>
      <c r="O53" s="11"/>
      <c r="P53" s="7"/>
      <c r="Q53" s="2"/>
      <c r="R53" s="6">
        <f t="shared" si="48"/>
        <v>0</v>
      </c>
      <c r="S53" s="2"/>
      <c r="T53" s="7">
        <v>10</v>
      </c>
      <c r="U53" s="2"/>
      <c r="V53" s="6">
        <f t="shared" si="49"/>
        <v>3.866273337792435E-3</v>
      </c>
      <c r="W53" s="2"/>
      <c r="X53" s="7">
        <f t="shared" si="50"/>
        <v>-10</v>
      </c>
      <c r="Y53" s="2"/>
      <c r="Z53" s="6">
        <f t="shared" si="51"/>
        <v>-1</v>
      </c>
    </row>
    <row r="54" spans="1:26" s="27" customFormat="1" outlineLevel="1" collapsed="1" x14ac:dyDescent="0.25">
      <c r="A54" s="29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SUM(OSRRefD22_7x_0)</f>
        <v>0</v>
      </c>
      <c r="E54" s="1"/>
      <c r="F54" s="5">
        <f t="shared" si="44"/>
        <v>0</v>
      </c>
      <c r="G54" s="1"/>
      <c r="H54" s="1">
        <f>SUM(OSRRefH22_7x_0)</f>
        <v>0</v>
      </c>
      <c r="I54" s="1"/>
      <c r="J54" s="5">
        <f t="shared" si="45"/>
        <v>0</v>
      </c>
      <c r="K54" s="1"/>
      <c r="L54" s="1">
        <f t="shared" si="46"/>
        <v>0</v>
      </c>
      <c r="M54" s="1"/>
      <c r="N54" s="5">
        <f t="shared" si="47"/>
        <v>0</v>
      </c>
      <c r="O54" s="14"/>
      <c r="P54" s="1">
        <f>SUM(OSRRefP22_7x_0)</f>
        <v>1612</v>
      </c>
      <c r="Q54" s="1"/>
      <c r="R54" s="5">
        <f t="shared" si="48"/>
        <v>7.0769916990223933E-2</v>
      </c>
      <c r="S54" s="1"/>
      <c r="T54" s="1">
        <f>SUM(OSRRefT22_7x_0)</f>
        <v>1509.1</v>
      </c>
      <c r="U54" s="1"/>
      <c r="V54" s="5">
        <f t="shared" si="49"/>
        <v>0.58345930940625634</v>
      </c>
      <c r="W54" s="1"/>
      <c r="X54" s="1">
        <f t="shared" si="50"/>
        <v>102.90000000000009</v>
      </c>
      <c r="Y54" s="1"/>
      <c r="Z54" s="5">
        <f t="shared" si="51"/>
        <v>6.8186336226890271E-2</v>
      </c>
    </row>
    <row r="55" spans="1:26" s="24" customFormat="1" hidden="1" outlineLevel="2" x14ac:dyDescent="0.25">
      <c r="A55" s="28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44"/>
        <v>0</v>
      </c>
      <c r="G55" s="2"/>
      <c r="H55" s="7"/>
      <c r="I55" s="2"/>
      <c r="J55" s="6">
        <f t="shared" si="45"/>
        <v>0</v>
      </c>
      <c r="K55" s="2"/>
      <c r="L55" s="7">
        <f t="shared" si="46"/>
        <v>0</v>
      </c>
      <c r="M55" s="2"/>
      <c r="N55" s="6">
        <f t="shared" si="47"/>
        <v>0</v>
      </c>
      <c r="O55" s="11"/>
      <c r="P55" s="7">
        <v>1612</v>
      </c>
      <c r="Q55" s="2"/>
      <c r="R55" s="6">
        <f t="shared" si="48"/>
        <v>7.0769916990223933E-2</v>
      </c>
      <c r="S55" s="2"/>
      <c r="T55" s="7">
        <v>1509.1</v>
      </c>
      <c r="U55" s="2"/>
      <c r="V55" s="6">
        <f t="shared" si="49"/>
        <v>0.58345930940625634</v>
      </c>
      <c r="W55" s="2"/>
      <c r="X55" s="7">
        <f t="shared" si="50"/>
        <v>102.90000000000009</v>
      </c>
      <c r="Y55" s="2"/>
      <c r="Z55" s="6">
        <f t="shared" si="51"/>
        <v>6.8186336226890271E-2</v>
      </c>
    </row>
    <row r="56" spans="1:26" s="27" customFormat="1" outlineLevel="1" collapsed="1" x14ac:dyDescent="0.25">
      <c r="A56" s="29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SUM(OSRRefD22_8x_0)</f>
        <v>331.01</v>
      </c>
      <c r="E56" s="1"/>
      <c r="F56" s="5">
        <f t="shared" si="44"/>
        <v>2.0543167275909366E-2</v>
      </c>
      <c r="G56" s="1"/>
      <c r="H56" s="1">
        <f>SUM(OSRRefH22_8x_0)</f>
        <v>243.54</v>
      </c>
      <c r="I56" s="1"/>
      <c r="J56" s="5">
        <f t="shared" si="45"/>
        <v>0.13818107542256039</v>
      </c>
      <c r="K56" s="1"/>
      <c r="L56" s="1">
        <f t="shared" si="46"/>
        <v>87.47</v>
      </c>
      <c r="M56" s="1"/>
      <c r="N56" s="5">
        <f t="shared" si="47"/>
        <v>0.35916071281924944</v>
      </c>
      <c r="O56" s="14"/>
      <c r="P56" s="1">
        <f>SUM(OSRRefP22_8x_0)</f>
        <v>993.03</v>
      </c>
      <c r="Q56" s="1"/>
      <c r="R56" s="5">
        <f t="shared" si="48"/>
        <v>4.3595937139455372E-2</v>
      </c>
      <c r="S56" s="1"/>
      <c r="T56" s="1">
        <f>SUM(OSRRefT22_8x_0)</f>
        <v>730.62</v>
      </c>
      <c r="U56" s="1"/>
      <c r="V56" s="5">
        <f t="shared" si="49"/>
        <v>0.28247766260579088</v>
      </c>
      <c r="W56" s="1"/>
      <c r="X56" s="1">
        <f t="shared" si="50"/>
        <v>262.40999999999997</v>
      </c>
      <c r="Y56" s="1"/>
      <c r="Z56" s="5">
        <f t="shared" si="51"/>
        <v>0.35916071281924938</v>
      </c>
    </row>
    <row r="57" spans="1:26" s="24" customFormat="1" hidden="1" outlineLevel="2" x14ac:dyDescent="0.25">
      <c r="A57" s="28"/>
      <c r="B57" s="11" t="str">
        <f>CONCATENATE("          ", "6314", " - ", "LIABILITY INSURANCE")</f>
        <v xml:space="preserve">          6314 - LIABILITY INSURANCE</v>
      </c>
      <c r="C57" s="11"/>
      <c r="D57" s="7">
        <v>331.01</v>
      </c>
      <c r="E57" s="2"/>
      <c r="F57" s="6">
        <f t="shared" si="44"/>
        <v>2.0543167275909366E-2</v>
      </c>
      <c r="G57" s="2"/>
      <c r="H57" s="7">
        <v>243.54</v>
      </c>
      <c r="I57" s="2"/>
      <c r="J57" s="6">
        <f t="shared" si="45"/>
        <v>0.13818107542256039</v>
      </c>
      <c r="K57" s="2"/>
      <c r="L57" s="7">
        <f t="shared" si="46"/>
        <v>87.47</v>
      </c>
      <c r="M57" s="2"/>
      <c r="N57" s="6">
        <f t="shared" si="47"/>
        <v>0.35916071281924944</v>
      </c>
      <c r="O57" s="11"/>
      <c r="P57" s="7">
        <v>993.03</v>
      </c>
      <c r="Q57" s="2"/>
      <c r="R57" s="6">
        <f t="shared" si="48"/>
        <v>4.3595937139455372E-2</v>
      </c>
      <c r="S57" s="2"/>
      <c r="T57" s="7">
        <v>730.62</v>
      </c>
      <c r="U57" s="2"/>
      <c r="V57" s="6">
        <f t="shared" si="49"/>
        <v>0.28247766260579088</v>
      </c>
      <c r="W57" s="2"/>
      <c r="X57" s="7">
        <f t="shared" si="50"/>
        <v>262.40999999999997</v>
      </c>
      <c r="Y57" s="2"/>
      <c r="Z57" s="6">
        <f t="shared" si="51"/>
        <v>0.35916071281924938</v>
      </c>
    </row>
    <row r="58" spans="1:26" s="27" customFormat="1" outlineLevel="1" collapsed="1" x14ac:dyDescent="0.25">
      <c r="A58" s="29"/>
      <c r="B58" s="14" t="str">
        <f>CONCATENATE("     ","Interest                                          ")</f>
        <v xml:space="preserve">     Interest                                          </v>
      </c>
      <c r="C58" s="14"/>
      <c r="D58" s="1">
        <f>SUM(OSRRefD22_9x_0)</f>
        <v>3905</v>
      </c>
      <c r="E58" s="1"/>
      <c r="F58" s="5">
        <f t="shared" si="44"/>
        <v>0.24235240087135154</v>
      </c>
      <c r="G58" s="1"/>
      <c r="H58" s="1">
        <f>SUM(OSRRefH22_9x_0)</f>
        <v>4044</v>
      </c>
      <c r="I58" s="1"/>
      <c r="J58" s="5">
        <f t="shared" si="45"/>
        <v>2.2945071405470734</v>
      </c>
      <c r="K58" s="1"/>
      <c r="L58" s="1">
        <f t="shared" si="46"/>
        <v>-139</v>
      </c>
      <c r="M58" s="1"/>
      <c r="N58" s="5">
        <f t="shared" si="47"/>
        <v>-3.4371909000989118E-2</v>
      </c>
      <c r="O58" s="14"/>
      <c r="P58" s="1">
        <f>SUM(OSRRefP22_9x_0)</f>
        <v>11715</v>
      </c>
      <c r="Q58" s="1"/>
      <c r="R58" s="5">
        <f t="shared" si="48"/>
        <v>0.51431115232039282</v>
      </c>
      <c r="S58" s="1"/>
      <c r="T58" s="1">
        <f>SUM(OSRRefT22_9x_0)</f>
        <v>12132</v>
      </c>
      <c r="U58" s="1"/>
      <c r="V58" s="5">
        <f t="shared" si="49"/>
        <v>4.6905628134097821</v>
      </c>
      <c r="W58" s="1"/>
      <c r="X58" s="1">
        <f t="shared" si="50"/>
        <v>-417</v>
      </c>
      <c r="Y58" s="1"/>
      <c r="Z58" s="5">
        <f t="shared" si="51"/>
        <v>-3.4371909000989118E-2</v>
      </c>
    </row>
    <row r="59" spans="1:26" s="24" customFormat="1" hidden="1" outlineLevel="2" x14ac:dyDescent="0.25">
      <c r="A59" s="28"/>
      <c r="B59" s="11" t="str">
        <f>CONCATENATE("          ", "6401", " - ", "INTEREST EXPENSE")</f>
        <v xml:space="preserve">          6401 - INTEREST EXPENSE</v>
      </c>
      <c r="C59" s="11"/>
      <c r="D59" s="7">
        <v>3905</v>
      </c>
      <c r="E59" s="2"/>
      <c r="F59" s="6">
        <f t="shared" si="44"/>
        <v>0.24235240087135154</v>
      </c>
      <c r="G59" s="2"/>
      <c r="H59" s="7">
        <v>4044</v>
      </c>
      <c r="I59" s="2"/>
      <c r="J59" s="6">
        <f t="shared" si="45"/>
        <v>2.2945071405470734</v>
      </c>
      <c r="K59" s="2"/>
      <c r="L59" s="7">
        <f t="shared" si="46"/>
        <v>-139</v>
      </c>
      <c r="M59" s="2"/>
      <c r="N59" s="6">
        <f t="shared" si="47"/>
        <v>-3.4371909000989118E-2</v>
      </c>
      <c r="O59" s="11"/>
      <c r="P59" s="7">
        <v>11715</v>
      </c>
      <c r="Q59" s="2"/>
      <c r="R59" s="6">
        <f t="shared" si="48"/>
        <v>0.51431115232039282</v>
      </c>
      <c r="S59" s="2"/>
      <c r="T59" s="7">
        <v>12132</v>
      </c>
      <c r="U59" s="2"/>
      <c r="V59" s="6">
        <f t="shared" si="49"/>
        <v>4.6905628134097821</v>
      </c>
      <c r="W59" s="2"/>
      <c r="X59" s="7">
        <f t="shared" si="50"/>
        <v>-417</v>
      </c>
      <c r="Y59" s="2"/>
      <c r="Z59" s="6">
        <f t="shared" si="51"/>
        <v>-3.4371909000989118E-2</v>
      </c>
    </row>
    <row r="60" spans="1:26" s="27" customFormat="1" outlineLevel="1" collapsed="1" x14ac:dyDescent="0.25">
      <c r="A60" s="29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SUM(OSRRefD22_10x_0)</f>
        <v>275.44</v>
      </c>
      <c r="E60" s="1"/>
      <c r="F60" s="5">
        <f t="shared" si="44"/>
        <v>1.7094377796672233E-2</v>
      </c>
      <c r="G60" s="1"/>
      <c r="H60" s="1">
        <f>SUM(OSRRefH22_10x_0)</f>
        <v>529.01</v>
      </c>
      <c r="I60" s="1"/>
      <c r="J60" s="5">
        <f t="shared" si="45"/>
        <v>0.30015262671137666</v>
      </c>
      <c r="K60" s="1"/>
      <c r="L60" s="1">
        <f t="shared" si="46"/>
        <v>-253.57</v>
      </c>
      <c r="M60" s="1"/>
      <c r="N60" s="5">
        <f t="shared" si="47"/>
        <v>-0.47932931324549632</v>
      </c>
      <c r="O60" s="14"/>
      <c r="P60" s="1">
        <f>SUM(OSRRefP22_10x_0)</f>
        <v>2198.4299999999998</v>
      </c>
      <c r="Q60" s="1"/>
      <c r="R60" s="5">
        <f t="shared" si="48"/>
        <v>9.6515327921102956E-2</v>
      </c>
      <c r="S60" s="1"/>
      <c r="T60" s="1">
        <f>SUM(OSRRefT22_10x_0)</f>
        <v>1086.71</v>
      </c>
      <c r="U60" s="1"/>
      <c r="V60" s="5">
        <f t="shared" si="49"/>
        <v>0.42015178989124169</v>
      </c>
      <c r="W60" s="1"/>
      <c r="X60" s="1">
        <f t="shared" si="50"/>
        <v>1111.7199999999998</v>
      </c>
      <c r="Y60" s="1"/>
      <c r="Z60" s="5">
        <f t="shared" si="51"/>
        <v>1.023014419670381</v>
      </c>
    </row>
    <row r="61" spans="1:26" s="24" customFormat="1" hidden="1" outlineLevel="2" x14ac:dyDescent="0.25">
      <c r="A61" s="28"/>
      <c r="B61" s="11" t="str">
        <f>CONCATENATE("          ", "6373", " - ", "MAINTENANCE CONTRACTS")</f>
        <v xml:space="preserve">          6373 - MAINTENANCE CONTRACTS</v>
      </c>
      <c r="C61" s="11"/>
      <c r="D61" s="7">
        <v>275.44</v>
      </c>
      <c r="E61" s="2"/>
      <c r="F61" s="6">
        <f t="shared" si="44"/>
        <v>1.7094377796672233E-2</v>
      </c>
      <c r="G61" s="2"/>
      <c r="H61" s="7">
        <v>301.45</v>
      </c>
      <c r="I61" s="2"/>
      <c r="J61" s="6">
        <f t="shared" si="45"/>
        <v>0.17103837228435095</v>
      </c>
      <c r="K61" s="2"/>
      <c r="L61" s="7">
        <f t="shared" si="46"/>
        <v>-26.009999999999991</v>
      </c>
      <c r="M61" s="2"/>
      <c r="N61" s="6">
        <f t="shared" si="47"/>
        <v>-8.6282965665947897E-2</v>
      </c>
      <c r="O61" s="11"/>
      <c r="P61" s="7">
        <v>275.44</v>
      </c>
      <c r="Q61" s="2"/>
      <c r="R61" s="6">
        <f t="shared" si="48"/>
        <v>1.2092348595401536E-2</v>
      </c>
      <c r="S61" s="2"/>
      <c r="T61" s="7">
        <v>655.15</v>
      </c>
      <c r="U61" s="2"/>
      <c r="V61" s="6">
        <f t="shared" si="49"/>
        <v>0.25329889772547137</v>
      </c>
      <c r="W61" s="2"/>
      <c r="X61" s="7">
        <f t="shared" si="50"/>
        <v>-379.71</v>
      </c>
      <c r="Y61" s="2"/>
      <c r="Z61" s="6">
        <f t="shared" si="51"/>
        <v>-0.57957719606197056</v>
      </c>
    </row>
    <row r="62" spans="1:26" s="24" customFormat="1" hidden="1" outlineLevel="2" x14ac:dyDescent="0.25">
      <c r="A62" s="28"/>
      <c r="B62" s="11" t="str">
        <f>CONCATENATE("          ", "6375", " - ", "OUTSIDE REPAIRS &amp; MAINTENANCE")</f>
        <v xml:space="preserve">          6375 - OUTSIDE REPAIRS &amp; MAINTENANCE</v>
      </c>
      <c r="C62" s="11"/>
      <c r="D62" s="7"/>
      <c r="E62" s="2"/>
      <c r="F62" s="6">
        <f t="shared" si="44"/>
        <v>0</v>
      </c>
      <c r="G62" s="2"/>
      <c r="H62" s="7">
        <v>227.56</v>
      </c>
      <c r="I62" s="2"/>
      <c r="J62" s="6">
        <f t="shared" si="45"/>
        <v>0.12911425442702573</v>
      </c>
      <c r="K62" s="2"/>
      <c r="L62" s="7">
        <f t="shared" si="46"/>
        <v>-227.56</v>
      </c>
      <c r="M62" s="2"/>
      <c r="N62" s="6">
        <f t="shared" si="47"/>
        <v>-1</v>
      </c>
      <c r="O62" s="11"/>
      <c r="P62" s="7">
        <v>1922.99</v>
      </c>
      <c r="Q62" s="2"/>
      <c r="R62" s="6">
        <f t="shared" si="48"/>
        <v>8.4422979325701433E-2</v>
      </c>
      <c r="S62" s="2"/>
      <c r="T62" s="7">
        <v>431.56</v>
      </c>
      <c r="U62" s="2"/>
      <c r="V62" s="6">
        <f t="shared" si="49"/>
        <v>0.16685289216577032</v>
      </c>
      <c r="W62" s="2"/>
      <c r="X62" s="7">
        <f t="shared" si="50"/>
        <v>1491.43</v>
      </c>
      <c r="Y62" s="2"/>
      <c r="Z62" s="6">
        <f t="shared" si="51"/>
        <v>3.4559041616461212</v>
      </c>
    </row>
    <row r="63" spans="1:26" s="27" customFormat="1" outlineLevel="1" collapsed="1" x14ac:dyDescent="0.25">
      <c r="A63" s="29"/>
      <c r="B63" s="14" t="str">
        <f>CONCATENATE("     ","Services                                          ")</f>
        <v xml:space="preserve">     Services                                          </v>
      </c>
      <c r="C63" s="14"/>
      <c r="D63" s="1">
        <f>SUM(OSRRefD22_11x_0)</f>
        <v>424.13</v>
      </c>
      <c r="E63" s="1"/>
      <c r="F63" s="5">
        <f t="shared" ref="F63:F66" si="52">IF(D$12=0,0,D63/D$12)</f>
        <v>2.6322387652129662E-2</v>
      </c>
      <c r="G63" s="1"/>
      <c r="H63" s="1">
        <f>SUM(OSRRefH22_11x_0)</f>
        <v>41</v>
      </c>
      <c r="I63" s="1"/>
      <c r="J63" s="5">
        <f t="shared" ref="J63:J66" si="53">IF(H$12=0,0,H63/H$12)</f>
        <v>2.3262807310195352E-2</v>
      </c>
      <c r="K63" s="1"/>
      <c r="L63" s="1">
        <f t="shared" ref="L63:L66" si="54">+D63-H63</f>
        <v>383.13</v>
      </c>
      <c r="M63" s="1"/>
      <c r="N63" s="5">
        <f t="shared" ref="N63:N66" si="55">IF(H63=0,0,L63/H63)</f>
        <v>9.3446341463414626</v>
      </c>
      <c r="O63" s="14"/>
      <c r="P63" s="1">
        <f>SUM(OSRRefP22_11x_0)</f>
        <v>8351.869999999999</v>
      </c>
      <c r="Q63" s="1"/>
      <c r="R63" s="5">
        <f t="shared" ref="R63:R66" si="56">IF(P$12=0,0,P63/P$12)</f>
        <v>0.36666324231584457</v>
      </c>
      <c r="S63" s="1"/>
      <c r="T63" s="1">
        <f>SUM(OSRRefT22_11x_0)</f>
        <v>-1532.76</v>
      </c>
      <c r="U63" s="1"/>
      <c r="V63" s="5">
        <f t="shared" ref="V63:V66" si="57">IF(T$12=0,0,T63/T$12)</f>
        <v>-0.59260691212347327</v>
      </c>
      <c r="W63" s="1"/>
      <c r="X63" s="1">
        <f t="shared" ref="X63:X66" si="58">+P63-T63</f>
        <v>9884.6299999999992</v>
      </c>
      <c r="Y63" s="1"/>
      <c r="Z63" s="5">
        <f t="shared" ref="Z63:Z66" si="59">IF(T63=0,0,X63/T63)</f>
        <v>-6.4489091573370905</v>
      </c>
    </row>
    <row r="64" spans="1:26" s="24" customFormat="1" hidden="1" outlineLevel="2" x14ac:dyDescent="0.25">
      <c r="A64" s="28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320.25</v>
      </c>
      <c r="E64" s="2"/>
      <c r="F64" s="6">
        <f t="shared" si="52"/>
        <v>1.9875379354430303E-2</v>
      </c>
      <c r="G64" s="2"/>
      <c r="H64" s="7">
        <v>41</v>
      </c>
      <c r="I64" s="2"/>
      <c r="J64" s="6">
        <f t="shared" si="53"/>
        <v>2.3262807310195352E-2</v>
      </c>
      <c r="K64" s="2"/>
      <c r="L64" s="7">
        <f t="shared" si="54"/>
        <v>279.25</v>
      </c>
      <c r="M64" s="2"/>
      <c r="N64" s="6">
        <f t="shared" si="55"/>
        <v>6.8109756097560972</v>
      </c>
      <c r="O64" s="11"/>
      <c r="P64" s="7">
        <v>792.35</v>
      </c>
      <c r="Q64" s="2"/>
      <c r="R64" s="6">
        <f t="shared" si="56"/>
        <v>3.4785697101243129E-2</v>
      </c>
      <c r="S64" s="2"/>
      <c r="T64" s="7">
        <v>-728.16</v>
      </c>
      <c r="U64" s="2"/>
      <c r="V64" s="6">
        <f t="shared" si="57"/>
        <v>-0.28152655936469395</v>
      </c>
      <c r="W64" s="2"/>
      <c r="X64" s="7">
        <f t="shared" si="58"/>
        <v>1520.51</v>
      </c>
      <c r="Y64" s="2"/>
      <c r="Z64" s="6">
        <f t="shared" si="59"/>
        <v>-2.0881537024829711</v>
      </c>
    </row>
    <row r="65" spans="1:26" s="24" customFormat="1" hidden="1" outlineLevel="2" x14ac:dyDescent="0.25">
      <c r="A65" s="28"/>
      <c r="B65" s="11" t="str">
        <f>CONCATENATE("          ", "6285", " - ", "JANITORIAL SERVICES")</f>
        <v xml:space="preserve">          6285 - JANITORIAL SERVICES</v>
      </c>
      <c r="C65" s="11"/>
      <c r="D65" s="7">
        <v>51.94</v>
      </c>
      <c r="E65" s="2"/>
      <c r="F65" s="6">
        <f t="shared" si="52"/>
        <v>3.2235041488496794E-3</v>
      </c>
      <c r="G65" s="2"/>
      <c r="H65" s="7"/>
      <c r="I65" s="2"/>
      <c r="J65" s="6">
        <f t="shared" si="53"/>
        <v>0</v>
      </c>
      <c r="K65" s="2"/>
      <c r="L65" s="7">
        <f t="shared" si="54"/>
        <v>51.94</v>
      </c>
      <c r="M65" s="2"/>
      <c r="N65" s="6">
        <f t="shared" si="55"/>
        <v>0</v>
      </c>
      <c r="O65" s="11"/>
      <c r="P65" s="7">
        <v>7455.64</v>
      </c>
      <c r="Q65" s="2"/>
      <c r="R65" s="6">
        <f t="shared" si="56"/>
        <v>0.32731701235049204</v>
      </c>
      <c r="S65" s="2"/>
      <c r="T65" s="7">
        <v>-804.6</v>
      </c>
      <c r="U65" s="2"/>
      <c r="V65" s="6">
        <f t="shared" si="57"/>
        <v>-0.31108035275877932</v>
      </c>
      <c r="W65" s="2"/>
      <c r="X65" s="7">
        <f t="shared" si="58"/>
        <v>8260.24</v>
      </c>
      <c r="Y65" s="2"/>
      <c r="Z65" s="6">
        <f t="shared" si="59"/>
        <v>-10.266268953517276</v>
      </c>
    </row>
    <row r="66" spans="1:26" s="24" customFormat="1" hidden="1" outlineLevel="2" x14ac:dyDescent="0.25">
      <c r="A66" s="28"/>
      <c r="B66" s="11" t="str">
        <f>CONCATENATE("          ", "6286", " - ", "LAUNDRY EXPENSE")</f>
        <v xml:space="preserve">          6286 - LAUNDRY EXPENSE</v>
      </c>
      <c r="C66" s="11"/>
      <c r="D66" s="7">
        <v>51.94</v>
      </c>
      <c r="E66" s="2"/>
      <c r="F66" s="6">
        <f t="shared" si="52"/>
        <v>3.2235041488496794E-3</v>
      </c>
      <c r="G66" s="2"/>
      <c r="H66" s="7"/>
      <c r="I66" s="2"/>
      <c r="J66" s="6">
        <f t="shared" si="53"/>
        <v>0</v>
      </c>
      <c r="K66" s="2"/>
      <c r="L66" s="7">
        <f t="shared" si="54"/>
        <v>51.94</v>
      </c>
      <c r="M66" s="2"/>
      <c r="N66" s="6">
        <f t="shared" si="55"/>
        <v>0</v>
      </c>
      <c r="O66" s="11"/>
      <c r="P66" s="7">
        <v>103.88</v>
      </c>
      <c r="Q66" s="2"/>
      <c r="R66" s="6">
        <f t="shared" si="56"/>
        <v>4.5605328641094671E-3</v>
      </c>
      <c r="S66" s="2"/>
      <c r="T66" s="7"/>
      <c r="U66" s="2"/>
      <c r="V66" s="6">
        <f t="shared" si="57"/>
        <v>0</v>
      </c>
      <c r="W66" s="2"/>
      <c r="X66" s="7">
        <f t="shared" si="58"/>
        <v>103.88</v>
      </c>
      <c r="Y66" s="2"/>
      <c r="Z66" s="6">
        <f t="shared" si="59"/>
        <v>0</v>
      </c>
    </row>
    <row r="67" spans="1:26" s="27" customFormat="1" outlineLevel="1" collapsed="1" x14ac:dyDescent="0.25">
      <c r="A67" s="29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SUM(OSRRefD22_12x_0)</f>
        <v>177.2</v>
      </c>
      <c r="E67" s="1"/>
      <c r="F67" s="5">
        <f t="shared" ref="F67:F72" si="60">IF(D$12=0,0,D67/D$12)</f>
        <v>1.0997399599078998E-2</v>
      </c>
      <c r="G67" s="1"/>
      <c r="H67" s="1">
        <f>SUM(OSRRefH22_12x_0)</f>
        <v>724.22</v>
      </c>
      <c r="I67" s="1"/>
      <c r="J67" s="5">
        <f t="shared" ref="J67:J72" si="61">IF(H$12=0,0,H67/H$12)</f>
        <v>0.41091195878511416</v>
      </c>
      <c r="K67" s="1"/>
      <c r="L67" s="1">
        <f t="shared" ref="L67:L72" si="62">+D67-H67</f>
        <v>-547.02</v>
      </c>
      <c r="M67" s="1"/>
      <c r="N67" s="5">
        <f t="shared" ref="N67:N72" si="63">IF(H67=0,0,L67/H67)</f>
        <v>-0.7553229681588467</v>
      </c>
      <c r="O67" s="14"/>
      <c r="P67" s="1">
        <f>SUM(OSRRefP22_12x_0)</f>
        <v>1019.9</v>
      </c>
      <c r="Q67" s="1"/>
      <c r="R67" s="5">
        <f t="shared" ref="R67:R72" si="64">IF(P$12=0,0,P67/P$12)</f>
        <v>4.4775582095737829E-2</v>
      </c>
      <c r="S67" s="1"/>
      <c r="T67" s="1">
        <f>SUM(OSRRefT22_12x_0)</f>
        <v>1053.0899999999999</v>
      </c>
      <c r="U67" s="1"/>
      <c r="V67" s="5">
        <f t="shared" ref="V67:V72" si="65">IF(T$12=0,0,T67/T$12)</f>
        <v>0.40715337892958348</v>
      </c>
      <c r="W67" s="1"/>
      <c r="X67" s="1">
        <f t="shared" ref="X67:X72" si="66">+P67-T67</f>
        <v>-33.189999999999941</v>
      </c>
      <c r="Y67" s="1"/>
      <c r="Z67" s="5">
        <f t="shared" ref="Z67:Z72" si="67">IF(T67=0,0,X67/T67)</f>
        <v>-3.1516774444729265E-2</v>
      </c>
    </row>
    <row r="68" spans="1:26" s="24" customFormat="1" hidden="1" outlineLevel="2" x14ac:dyDescent="0.25">
      <c r="A68" s="28"/>
      <c r="B68" s="11" t="str">
        <f>CONCATENATE("          ", "6234", " - ", "EXPENDABLE SUPPLIES &amp; EQUIPMEN")</f>
        <v xml:space="preserve">          6234 - EXPENDABLE SUPPLIES &amp; EQUIPMEN</v>
      </c>
      <c r="C68" s="11"/>
      <c r="D68" s="7"/>
      <c r="E68" s="2"/>
      <c r="F68" s="6">
        <f t="shared" si="60"/>
        <v>0</v>
      </c>
      <c r="G68" s="2"/>
      <c r="H68" s="7">
        <v>316.67</v>
      </c>
      <c r="I68" s="2"/>
      <c r="J68" s="6">
        <f t="shared" si="61"/>
        <v>0.1796739802663308</v>
      </c>
      <c r="K68" s="2"/>
      <c r="L68" s="7">
        <f t="shared" si="62"/>
        <v>-316.67</v>
      </c>
      <c r="M68" s="2"/>
      <c r="N68" s="6">
        <f t="shared" si="63"/>
        <v>-1</v>
      </c>
      <c r="O68" s="11"/>
      <c r="P68" s="7"/>
      <c r="Q68" s="2"/>
      <c r="R68" s="6">
        <f t="shared" si="64"/>
        <v>0</v>
      </c>
      <c r="S68" s="2"/>
      <c r="T68" s="7">
        <v>316.67</v>
      </c>
      <c r="U68" s="2"/>
      <c r="V68" s="6">
        <f t="shared" si="65"/>
        <v>0.12243327778787304</v>
      </c>
      <c r="W68" s="2"/>
      <c r="X68" s="7">
        <f t="shared" si="66"/>
        <v>-316.67</v>
      </c>
      <c r="Y68" s="2"/>
      <c r="Z68" s="6">
        <f t="shared" si="67"/>
        <v>-1</v>
      </c>
    </row>
    <row r="69" spans="1:26" s="24" customFormat="1" hidden="1" outlineLevel="2" x14ac:dyDescent="0.25">
      <c r="A69" s="28"/>
      <c r="B69" s="11" t="str">
        <f>CONCATENATE("          ", "6235", " - ", "COVID-19 EXPENSES")</f>
        <v xml:space="preserve">          6235 - COVID-19 EXPENSES</v>
      </c>
      <c r="C69" s="11"/>
      <c r="D69" s="7"/>
      <c r="E69" s="2"/>
      <c r="F69" s="6">
        <f t="shared" si="60"/>
        <v>0</v>
      </c>
      <c r="G69" s="2"/>
      <c r="H69" s="7"/>
      <c r="I69" s="2"/>
      <c r="J69" s="6">
        <f t="shared" si="61"/>
        <v>0</v>
      </c>
      <c r="K69" s="2"/>
      <c r="L69" s="7">
        <f t="shared" si="62"/>
        <v>0</v>
      </c>
      <c r="M69" s="2"/>
      <c r="N69" s="6">
        <f t="shared" si="63"/>
        <v>0</v>
      </c>
      <c r="O69" s="11"/>
      <c r="P69" s="7"/>
      <c r="Q69" s="2"/>
      <c r="R69" s="6">
        <f t="shared" si="64"/>
        <v>0</v>
      </c>
      <c r="S69" s="2"/>
      <c r="T69" s="7">
        <v>207.27</v>
      </c>
      <c r="U69" s="2"/>
      <c r="V69" s="6">
        <f t="shared" si="65"/>
        <v>8.0136247472423802E-2</v>
      </c>
      <c r="W69" s="2"/>
      <c r="X69" s="7">
        <f t="shared" si="66"/>
        <v>-207.27</v>
      </c>
      <c r="Y69" s="2"/>
      <c r="Z69" s="6">
        <f t="shared" si="67"/>
        <v>-1</v>
      </c>
    </row>
    <row r="70" spans="1:26" s="24" customFormat="1" hidden="1" outlineLevel="2" x14ac:dyDescent="0.25">
      <c r="A70" s="28"/>
      <c r="B70" s="11" t="str">
        <f>CONCATENATE("          ", "6237", " - ", "JANITORIAL SUPPLIES")</f>
        <v xml:space="preserve">          6237 - JANITORIAL SUPPLIES</v>
      </c>
      <c r="C70" s="11"/>
      <c r="D70" s="7">
        <v>119.22</v>
      </c>
      <c r="E70" s="2"/>
      <c r="F70" s="6">
        <f t="shared" si="60"/>
        <v>7.3990405203284322E-3</v>
      </c>
      <c r="G70" s="2"/>
      <c r="H70" s="7">
        <v>317.57</v>
      </c>
      <c r="I70" s="2"/>
      <c r="J70" s="6">
        <f t="shared" si="61"/>
        <v>0.18018462725606679</v>
      </c>
      <c r="K70" s="2"/>
      <c r="L70" s="7">
        <f t="shared" si="62"/>
        <v>-198.35</v>
      </c>
      <c r="M70" s="2"/>
      <c r="N70" s="6">
        <f t="shared" si="63"/>
        <v>-0.62458670529332116</v>
      </c>
      <c r="O70" s="11"/>
      <c r="P70" s="7">
        <v>527.17999999999995</v>
      </c>
      <c r="Q70" s="2"/>
      <c r="R70" s="6">
        <f t="shared" si="64"/>
        <v>2.3144221364085761E-2</v>
      </c>
      <c r="S70" s="2"/>
      <c r="T70" s="7">
        <v>317.57</v>
      </c>
      <c r="U70" s="2"/>
      <c r="V70" s="6">
        <f t="shared" si="65"/>
        <v>0.12278124238827436</v>
      </c>
      <c r="W70" s="2"/>
      <c r="X70" s="7">
        <f t="shared" si="66"/>
        <v>209.60999999999996</v>
      </c>
      <c r="Y70" s="2"/>
      <c r="Z70" s="6">
        <f t="shared" si="67"/>
        <v>0.66004345498630212</v>
      </c>
    </row>
    <row r="71" spans="1:26" s="24" customFormat="1" hidden="1" outlineLevel="2" x14ac:dyDescent="0.25">
      <c r="A71" s="28"/>
      <c r="B71" s="11" t="str">
        <f>CONCATENATE("          ", "6241", " - ", "OFFICE EXPENSE")</f>
        <v xml:space="preserve">          6241 - OFFICE EXPENSE</v>
      </c>
      <c r="C71" s="11"/>
      <c r="D71" s="7"/>
      <c r="E71" s="2"/>
      <c r="F71" s="6">
        <f t="shared" si="60"/>
        <v>0</v>
      </c>
      <c r="G71" s="2"/>
      <c r="H71" s="7">
        <v>89.98</v>
      </c>
      <c r="I71" s="2"/>
      <c r="J71" s="6">
        <f t="shared" si="61"/>
        <v>5.105335126271654E-2</v>
      </c>
      <c r="K71" s="2"/>
      <c r="L71" s="7">
        <f t="shared" si="62"/>
        <v>-89.98</v>
      </c>
      <c r="M71" s="2"/>
      <c r="N71" s="6">
        <f t="shared" si="63"/>
        <v>-1</v>
      </c>
      <c r="O71" s="11"/>
      <c r="P71" s="7">
        <v>134.74</v>
      </c>
      <c r="Q71" s="2"/>
      <c r="R71" s="6">
        <f t="shared" si="64"/>
        <v>5.915346535522812E-3</v>
      </c>
      <c r="S71" s="2"/>
      <c r="T71" s="7">
        <v>131.30000000000001</v>
      </c>
      <c r="U71" s="2"/>
      <c r="V71" s="6">
        <f t="shared" si="65"/>
        <v>5.0764168925214674E-2</v>
      </c>
      <c r="W71" s="2"/>
      <c r="X71" s="7">
        <f t="shared" si="66"/>
        <v>3.4399999999999977</v>
      </c>
      <c r="Y71" s="2"/>
      <c r="Z71" s="6">
        <f t="shared" si="67"/>
        <v>2.619954303122618E-2</v>
      </c>
    </row>
    <row r="72" spans="1:26" s="24" customFormat="1" hidden="1" outlineLevel="2" x14ac:dyDescent="0.25">
      <c r="A72" s="28"/>
      <c r="B72" s="11" t="str">
        <f>CONCATENATE("          ", "6247", " - ", "STORE SUPPLIES")</f>
        <v xml:space="preserve">          6247 - STORE SUPPLIES</v>
      </c>
      <c r="C72" s="11"/>
      <c r="D72" s="7">
        <v>57.98</v>
      </c>
      <c r="E72" s="2"/>
      <c r="F72" s="6">
        <f t="shared" si="60"/>
        <v>3.5983590787505662E-3</v>
      </c>
      <c r="G72" s="2"/>
      <c r="H72" s="7"/>
      <c r="I72" s="2"/>
      <c r="J72" s="6">
        <f t="shared" si="61"/>
        <v>0</v>
      </c>
      <c r="K72" s="2"/>
      <c r="L72" s="7">
        <f t="shared" si="62"/>
        <v>57.98</v>
      </c>
      <c r="M72" s="2"/>
      <c r="N72" s="6">
        <f t="shared" si="63"/>
        <v>0</v>
      </c>
      <c r="O72" s="11"/>
      <c r="P72" s="7">
        <v>357.98</v>
      </c>
      <c r="Q72" s="2"/>
      <c r="R72" s="6">
        <f t="shared" si="64"/>
        <v>1.5716014196129256E-2</v>
      </c>
      <c r="S72" s="2"/>
      <c r="T72" s="7">
        <v>80.28</v>
      </c>
      <c r="U72" s="2"/>
      <c r="V72" s="6">
        <f t="shared" si="65"/>
        <v>3.1038442355797669E-2</v>
      </c>
      <c r="W72" s="2"/>
      <c r="X72" s="7">
        <f t="shared" si="66"/>
        <v>277.70000000000005</v>
      </c>
      <c r="Y72" s="2"/>
      <c r="Z72" s="6">
        <f t="shared" si="67"/>
        <v>3.4591429995017444</v>
      </c>
    </row>
    <row r="73" spans="1:26" s="27" customFormat="1" outlineLevel="1" collapsed="1" x14ac:dyDescent="0.25">
      <c r="A73" s="29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SUM(OSRRefD22_13x_0)</f>
        <v>375.5</v>
      </c>
      <c r="E73" s="1"/>
      <c r="F73" s="5">
        <f t="shared" ref="F73:F76" si="68">IF(D$12=0,0,D73/D$12)</f>
        <v>2.3304308969831627E-2</v>
      </c>
      <c r="G73" s="1"/>
      <c r="H73" s="1">
        <f>SUM(OSRRefH22_13x_0)</f>
        <v>328.87</v>
      </c>
      <c r="I73" s="1"/>
      <c r="J73" s="5">
        <f t="shared" ref="J73:J76" si="69">IF(H$12=0,0,H73/H$12)</f>
        <v>0.18659608390497429</v>
      </c>
      <c r="K73" s="1"/>
      <c r="L73" s="1">
        <f t="shared" ref="L73:L76" si="70">+D73-H73</f>
        <v>46.629999999999995</v>
      </c>
      <c r="M73" s="1"/>
      <c r="N73" s="5">
        <f t="shared" ref="N73:N76" si="71">IF(H73=0,0,L73/H73)</f>
        <v>0.14178854866664639</v>
      </c>
      <c r="O73" s="14"/>
      <c r="P73" s="1">
        <f>SUM(OSRRefP22_13x_0)</f>
        <v>645.5</v>
      </c>
      <c r="Q73" s="1"/>
      <c r="R73" s="5">
        <f t="shared" ref="R73:R76" si="72">IF(P$12=0,0,P73/P$12)</f>
        <v>2.8338698149621304E-2</v>
      </c>
      <c r="S73" s="1"/>
      <c r="T73" s="1">
        <f>SUM(OSRRefT22_13x_0)</f>
        <v>1106.24</v>
      </c>
      <c r="U73" s="1"/>
      <c r="V73" s="5">
        <f t="shared" ref="V73:V76" si="73">IF(T$12=0,0,T73/T$12)</f>
        <v>0.42770262171995033</v>
      </c>
      <c r="W73" s="1"/>
      <c r="X73" s="1">
        <f t="shared" ref="X73:X76" si="74">+P73-T73</f>
        <v>-460.74</v>
      </c>
      <c r="Y73" s="1"/>
      <c r="Z73" s="5">
        <f t="shared" ref="Z73:Z76" si="75">IF(T73=0,0,X73/T73)</f>
        <v>-0.41649190049175588</v>
      </c>
    </row>
    <row r="74" spans="1:26" s="24" customFormat="1" hidden="1" outlineLevel="2" x14ac:dyDescent="0.25">
      <c r="A74" s="28"/>
      <c r="B74" s="11" t="str">
        <f>CONCATENATE("          ", "6309", " - ", "TELEPHONE")</f>
        <v xml:space="preserve">          6309 - TELEPHONE</v>
      </c>
      <c r="C74" s="11"/>
      <c r="D74" s="7">
        <v>375.5</v>
      </c>
      <c r="E74" s="2"/>
      <c r="F74" s="6">
        <f t="shared" si="68"/>
        <v>2.3304308969831627E-2</v>
      </c>
      <c r="G74" s="2"/>
      <c r="H74" s="7">
        <v>328.87</v>
      </c>
      <c r="I74" s="2"/>
      <c r="J74" s="6">
        <f t="shared" si="69"/>
        <v>0.18659608390497429</v>
      </c>
      <c r="K74" s="2"/>
      <c r="L74" s="7">
        <f t="shared" si="70"/>
        <v>46.629999999999995</v>
      </c>
      <c r="M74" s="2"/>
      <c r="N74" s="6">
        <f t="shared" si="71"/>
        <v>0.14178854866664639</v>
      </c>
      <c r="O74" s="11"/>
      <c r="P74" s="7">
        <v>645.5</v>
      </c>
      <c r="Q74" s="2"/>
      <c r="R74" s="6">
        <f t="shared" si="72"/>
        <v>2.8338698149621304E-2</v>
      </c>
      <c r="S74" s="2"/>
      <c r="T74" s="7">
        <v>1106.24</v>
      </c>
      <c r="U74" s="2"/>
      <c r="V74" s="6">
        <f t="shared" si="73"/>
        <v>0.42770262171995033</v>
      </c>
      <c r="W74" s="2"/>
      <c r="X74" s="7">
        <f t="shared" si="74"/>
        <v>-460.74</v>
      </c>
      <c r="Y74" s="2"/>
      <c r="Z74" s="6">
        <f t="shared" si="75"/>
        <v>-0.41649190049175588</v>
      </c>
    </row>
    <row r="75" spans="1:26" s="27" customFormat="1" outlineLevel="1" collapsed="1" x14ac:dyDescent="0.25">
      <c r="A75" s="29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SUM(OSRRefD22_14x_0)</f>
        <v>100</v>
      </c>
      <c r="E75" s="1"/>
      <c r="F75" s="5">
        <f t="shared" si="68"/>
        <v>6.2062074486901797E-3</v>
      </c>
      <c r="G75" s="1"/>
      <c r="H75" s="1">
        <f>SUM(OSRRefH22_14x_0)</f>
        <v>50</v>
      </c>
      <c r="I75" s="1"/>
      <c r="J75" s="5">
        <f t="shared" si="69"/>
        <v>2.8369277207555308E-2</v>
      </c>
      <c r="K75" s="1"/>
      <c r="L75" s="1">
        <f t="shared" si="70"/>
        <v>50</v>
      </c>
      <c r="M75" s="1"/>
      <c r="N75" s="5">
        <f t="shared" si="71"/>
        <v>1</v>
      </c>
      <c r="O75" s="14"/>
      <c r="P75" s="1">
        <f>SUM(OSRRefP22_14x_0)</f>
        <v>300</v>
      </c>
      <c r="Q75" s="1"/>
      <c r="R75" s="5">
        <f t="shared" si="72"/>
        <v>1.3170580085029266E-2</v>
      </c>
      <c r="S75" s="1"/>
      <c r="T75" s="1">
        <f>SUM(OSRRefT22_14x_0)</f>
        <v>150</v>
      </c>
      <c r="U75" s="1"/>
      <c r="V75" s="5">
        <f t="shared" si="73"/>
        <v>5.7994100066886524E-2</v>
      </c>
      <c r="W75" s="1"/>
      <c r="X75" s="1">
        <f t="shared" si="74"/>
        <v>150</v>
      </c>
      <c r="Y75" s="1"/>
      <c r="Z75" s="5">
        <f t="shared" si="75"/>
        <v>1</v>
      </c>
    </row>
    <row r="76" spans="1:26" s="24" customFormat="1" hidden="1" outlineLevel="2" x14ac:dyDescent="0.25">
      <c r="A76" s="28"/>
      <c r="B76" s="11" t="str">
        <f>CONCATENATE("          ", "6274", " - ", "UTILITIES")</f>
        <v xml:space="preserve">          6274 - UTILITIES</v>
      </c>
      <c r="C76" s="11"/>
      <c r="D76" s="7">
        <v>100</v>
      </c>
      <c r="E76" s="2"/>
      <c r="F76" s="6">
        <f t="shared" si="68"/>
        <v>6.2062074486901797E-3</v>
      </c>
      <c r="G76" s="2"/>
      <c r="H76" s="7">
        <v>50</v>
      </c>
      <c r="I76" s="2"/>
      <c r="J76" s="6">
        <f t="shared" si="69"/>
        <v>2.8369277207555308E-2</v>
      </c>
      <c r="K76" s="2"/>
      <c r="L76" s="7">
        <f t="shared" si="70"/>
        <v>50</v>
      </c>
      <c r="M76" s="2"/>
      <c r="N76" s="6">
        <f t="shared" si="71"/>
        <v>1</v>
      </c>
      <c r="O76" s="11"/>
      <c r="P76" s="7">
        <v>300</v>
      </c>
      <c r="Q76" s="2"/>
      <c r="R76" s="6">
        <f t="shared" si="72"/>
        <v>1.3170580085029266E-2</v>
      </c>
      <c r="S76" s="2"/>
      <c r="T76" s="7">
        <v>150</v>
      </c>
      <c r="U76" s="2"/>
      <c r="V76" s="6">
        <f t="shared" si="73"/>
        <v>5.7994100066886524E-2</v>
      </c>
      <c r="W76" s="2"/>
      <c r="X76" s="7">
        <f t="shared" si="74"/>
        <v>150</v>
      </c>
      <c r="Y76" s="2"/>
      <c r="Z76" s="6">
        <f t="shared" si="75"/>
        <v>1</v>
      </c>
    </row>
    <row r="77" spans="1:26" s="54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6" t="s">
        <v>292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5" t="s">
        <v>276</v>
      </c>
      <c r="C80" s="25"/>
      <c r="D80" s="21">
        <f>+D27-D29+D78</f>
        <v>-10334.239999999998</v>
      </c>
      <c r="E80" s="13"/>
      <c r="F80" s="22">
        <f>IF(D$12=0,0,D80/D$12)</f>
        <v>-0.64136437264551993</v>
      </c>
      <c r="G80" s="13"/>
      <c r="H80" s="21">
        <f>+H27-H29+H78</f>
        <v>-30477.680000000004</v>
      </c>
      <c r="I80" s="13"/>
      <c r="J80" s="22">
        <f>IF(H$12=0,0,H80/H$12)</f>
        <v>-17.292595051263287</v>
      </c>
      <c r="K80" s="16"/>
      <c r="L80" s="21">
        <f>+D80-H80</f>
        <v>20143.440000000006</v>
      </c>
      <c r="M80" s="16"/>
      <c r="N80" s="22">
        <f>IF(H80=0,0,L80/H80)</f>
        <v>-0.66092432232374654</v>
      </c>
      <c r="O80" s="26"/>
      <c r="P80" s="21">
        <f>+P27-P29+P78</f>
        <v>-46926.98</v>
      </c>
      <c r="Q80" s="13"/>
      <c r="R80" s="22">
        <f>IF(P$12=0,0,P80/P$12)</f>
        <v>-2.0601851607952226</v>
      </c>
      <c r="S80" s="13"/>
      <c r="T80" s="21">
        <f>+T27-T29+T78</f>
        <v>-92637.78</v>
      </c>
      <c r="U80" s="13"/>
      <c r="V80" s="22">
        <f>IF(T$12=0,0,T80/T$12)</f>
        <v>-35.816297888628128</v>
      </c>
      <c r="W80" s="16"/>
      <c r="X80" s="21">
        <f>+P80-T80</f>
        <v>45710.799999999996</v>
      </c>
      <c r="Y80" s="16"/>
      <c r="Z80" s="22">
        <f>IF(T80=0,0,X80/T80)</f>
        <v>-0.49343583147178177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127</v>
      </c>
      <c r="C82" s="10"/>
      <c r="D82" s="4">
        <v>1823.38</v>
      </c>
      <c r="E82" s="4"/>
      <c r="F82" s="12">
        <f>IF(D$12=0,0,D82/D$12)</f>
        <v>0.11316274537792702</v>
      </c>
      <c r="G82" s="4"/>
      <c r="H82" s="4">
        <v>340.04</v>
      </c>
      <c r="I82" s="4"/>
      <c r="J82" s="12">
        <f>IF(H$12=0,0,H82/H$12)</f>
        <v>0.19293378043314216</v>
      </c>
      <c r="K82" s="4"/>
      <c r="L82" s="4">
        <f>+D82-H82</f>
        <v>1483.3400000000001</v>
      </c>
      <c r="M82" s="4"/>
      <c r="N82" s="12">
        <f>IF(H82=0,0,L82/H82)</f>
        <v>4.3622514998235502</v>
      </c>
      <c r="O82" s="10"/>
      <c r="P82" s="4">
        <v>2819.37</v>
      </c>
      <c r="Q82" s="4"/>
      <c r="R82" s="12">
        <f>IF(P$12=0,0,P82/P$12)</f>
        <v>0.12377579458109654</v>
      </c>
      <c r="S82" s="4"/>
      <c r="T82" s="4">
        <v>479.16</v>
      </c>
      <c r="U82" s="4"/>
      <c r="V82" s="12">
        <f>IF(T$12=0,0,T82/T$12)</f>
        <v>0.18525635325366233</v>
      </c>
      <c r="W82" s="4"/>
      <c r="X82" s="4">
        <f>+P82-T82</f>
        <v>2340.21</v>
      </c>
      <c r="Y82" s="4"/>
      <c r="Z82" s="12">
        <f>IF(T82=0,0,X82/T82)</f>
        <v>4.8839844728274482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5" t="s">
        <v>125</v>
      </c>
      <c r="C84" s="25"/>
      <c r="D84" s="33">
        <f>+D80-D82</f>
        <v>-12157.619999999999</v>
      </c>
      <c r="E84" s="13"/>
      <c r="F84" s="35">
        <f>IF(D$12=0,0,D84/D$12)</f>
        <v>-0.75452711802344696</v>
      </c>
      <c r="G84" s="13"/>
      <c r="H84" s="33">
        <f>+H80-H82</f>
        <v>-30817.720000000005</v>
      </c>
      <c r="I84" s="13"/>
      <c r="J84" s="35">
        <f>IF(H$12=0,0,H84/H$12)</f>
        <v>-17.485528831696431</v>
      </c>
      <c r="K84" s="16"/>
      <c r="L84" s="33">
        <f>D84-H84</f>
        <v>18660.100000000006</v>
      </c>
      <c r="M84" s="16"/>
      <c r="N84" s="35">
        <f>IF(H84=0,0,L84/H84)</f>
        <v>-0.60549904405647148</v>
      </c>
      <c r="O84" s="26"/>
      <c r="P84" s="33">
        <f>+P80-P82</f>
        <v>-49746.350000000006</v>
      </c>
      <c r="Q84" s="13"/>
      <c r="R84" s="35">
        <f>IF(P$12=0,0,P84/P$12)</f>
        <v>-2.1839609553763193</v>
      </c>
      <c r="S84" s="13"/>
      <c r="T84" s="33">
        <f>+T80-T82</f>
        <v>-93116.94</v>
      </c>
      <c r="U84" s="13"/>
      <c r="V84" s="35">
        <f>IF(T$12=0,0,T84/T$12)</f>
        <v>-36.001554241881792</v>
      </c>
      <c r="W84" s="16"/>
      <c r="X84" s="33">
        <f>P84-T84</f>
        <v>43370.59</v>
      </c>
      <c r="Y84" s="16"/>
      <c r="Z84" s="35">
        <f>IF(T84=0,0,X84/T84)</f>
        <v>-0.46576476847284709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293</v>
      </c>
      <c r="C87" s="25"/>
      <c r="D87" s="31">
        <f>SUM(D84:D86)</f>
        <v>-12157.619999999999</v>
      </c>
      <c r="E87" s="13"/>
      <c r="F87" s="32">
        <f>IF(D$12=0,0,D87/D$12)</f>
        <v>-0.75452711802344696</v>
      </c>
      <c r="G87" s="13"/>
      <c r="H87" s="31">
        <f>SUM(H84:H86)</f>
        <v>-30817.720000000005</v>
      </c>
      <c r="I87" s="13"/>
      <c r="J87" s="32">
        <f>IF(H$12=0,0,H87/H$12)</f>
        <v>-17.485528831696431</v>
      </c>
      <c r="K87" s="16"/>
      <c r="L87" s="31">
        <f>+D87-H87</f>
        <v>18660.100000000006</v>
      </c>
      <c r="M87" s="16"/>
      <c r="N87" s="32">
        <f>IF(H87=0,0,L87/H87)</f>
        <v>-0.60549904405647148</v>
      </c>
      <c r="O87" s="26"/>
      <c r="P87" s="31">
        <f>SUM(P84:P86)</f>
        <v>-49746.350000000006</v>
      </c>
      <c r="Q87" s="13"/>
      <c r="R87" s="32">
        <f>IF(P$12=0,0,P87/P$12)</f>
        <v>-2.1839609553763193</v>
      </c>
      <c r="S87" s="13"/>
      <c r="T87" s="31">
        <f>SUM(T84:T86)</f>
        <v>-93116.94</v>
      </c>
      <c r="U87" s="13"/>
      <c r="V87" s="32">
        <f>IF(T$12=0,0,T87/T$12)</f>
        <v>-36.001554241881792</v>
      </c>
      <c r="W87" s="16"/>
      <c r="X87" s="31">
        <f>+P87-T87</f>
        <v>43370.59</v>
      </c>
      <c r="Y87" s="16"/>
      <c r="Z87" s="32">
        <f>IF(T87=0,0,X87/T87)</f>
        <v>-0.46576476847284709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8">
        <v>44481.985599224536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3" t="s">
        <v>56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2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","309", " - ", "Carts")</f>
        <v>Department 309 - Carts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818.69</v>
      </c>
      <c r="E18" s="20"/>
      <c r="F18" s="30">
        <f t="shared" ref="F18:F23" si="0">IF(D$12=0,0,D18/D$12)</f>
        <v>0</v>
      </c>
      <c r="G18" s="20"/>
      <c r="H18" s="20">
        <f>SUM(OSRRefH22x_0)</f>
        <v>630.27</v>
      </c>
      <c r="I18" s="20"/>
      <c r="J18" s="30">
        <f t="shared" ref="J18:J23" si="1">IF(H$12=0,0,H18/H$12)</f>
        <v>0</v>
      </c>
      <c r="K18" s="4"/>
      <c r="L18" s="20">
        <f t="shared" ref="L18:L23" si="2">+D18-H18</f>
        <v>188.42000000000007</v>
      </c>
      <c r="M18" s="4"/>
      <c r="N18" s="30">
        <f t="shared" ref="N18:N23" si="3">IF(H18=0,0,L18/H18)</f>
        <v>0.2989512431180289</v>
      </c>
      <c r="O18" s="10"/>
      <c r="P18" s="20">
        <f>SUM(OSRRefP22x_0)</f>
        <v>2483.19</v>
      </c>
      <c r="Q18" s="20"/>
      <c r="R18" s="30">
        <f t="shared" ref="R18:R23" si="4">IF(P$12=0,0,P18/P$12)</f>
        <v>0</v>
      </c>
      <c r="S18" s="20"/>
      <c r="T18" s="20">
        <f>SUM(OSRRefT22x_0)</f>
        <v>1581.3899999999999</v>
      </c>
      <c r="U18" s="20"/>
      <c r="V18" s="30">
        <f t="shared" ref="V18:V23" si="5">IF(T$12=0,0,T18/T$12)</f>
        <v>0</v>
      </c>
      <c r="W18" s="4"/>
      <c r="X18" s="20">
        <f t="shared" ref="X18:X23" si="6">+P18-T18</f>
        <v>901.80000000000018</v>
      </c>
      <c r="Y18" s="4"/>
      <c r="Z18" s="30">
        <f t="shared" ref="Z18:Z23" si="7">IF(T18=0,0,X18/T18)</f>
        <v>0.57025781116612617</v>
      </c>
    </row>
    <row r="19" spans="1:26" s="27" customFormat="1" outlineLevel="1" collapsed="1" x14ac:dyDescent="0.25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588.94000000000005</v>
      </c>
      <c r="E19" s="1"/>
      <c r="F19" s="5">
        <f t="shared" si="0"/>
        <v>0</v>
      </c>
      <c r="G19" s="1"/>
      <c r="H19" s="1">
        <f>SUM(OSRRefH22_0x_0)</f>
        <v>588.16999999999996</v>
      </c>
      <c r="I19" s="1"/>
      <c r="J19" s="5">
        <f t="shared" si="1"/>
        <v>0</v>
      </c>
      <c r="K19" s="1"/>
      <c r="L19" s="1">
        <f t="shared" si="2"/>
        <v>0.7700000000000955</v>
      </c>
      <c r="M19" s="1"/>
      <c r="N19" s="5">
        <f t="shared" si="3"/>
        <v>1.3091453151301419E-3</v>
      </c>
      <c r="O19" s="14"/>
      <c r="P19" s="1">
        <f>SUM(OSRRefP22_0x_0)</f>
        <v>1766.82</v>
      </c>
      <c r="Q19" s="1"/>
      <c r="R19" s="5">
        <f t="shared" si="4"/>
        <v>0</v>
      </c>
      <c r="S19" s="1"/>
      <c r="T19" s="1">
        <f>SUM(OSRRefT22_0x_0)</f>
        <v>1500.29</v>
      </c>
      <c r="U19" s="1"/>
      <c r="V19" s="5">
        <f t="shared" si="5"/>
        <v>0</v>
      </c>
      <c r="W19" s="1"/>
      <c r="X19" s="1">
        <f t="shared" si="6"/>
        <v>266.52999999999997</v>
      </c>
      <c r="Y19" s="1"/>
      <c r="Z19" s="5">
        <f t="shared" si="7"/>
        <v>0.17765232055136004</v>
      </c>
    </row>
    <row r="20" spans="1:26" s="24" customFormat="1" hidden="1" outlineLevel="2" x14ac:dyDescent="0.25">
      <c r="A20" s="28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588.94000000000005</v>
      </c>
      <c r="E20" s="2"/>
      <c r="F20" s="6">
        <f t="shared" si="0"/>
        <v>0</v>
      </c>
      <c r="G20" s="2"/>
      <c r="H20" s="7">
        <v>588.16999999999996</v>
      </c>
      <c r="I20" s="2"/>
      <c r="J20" s="6">
        <f t="shared" si="1"/>
        <v>0</v>
      </c>
      <c r="K20" s="2"/>
      <c r="L20" s="7">
        <f t="shared" si="2"/>
        <v>0.7700000000000955</v>
      </c>
      <c r="M20" s="2"/>
      <c r="N20" s="6">
        <f t="shared" si="3"/>
        <v>1.3091453151301419E-3</v>
      </c>
      <c r="O20" s="11"/>
      <c r="P20" s="7">
        <v>1766.82</v>
      </c>
      <c r="Q20" s="2"/>
      <c r="R20" s="6">
        <f t="shared" si="4"/>
        <v>0</v>
      </c>
      <c r="S20" s="2"/>
      <c r="T20" s="7">
        <v>1500.29</v>
      </c>
      <c r="U20" s="2"/>
      <c r="V20" s="6">
        <f t="shared" si="5"/>
        <v>0</v>
      </c>
      <c r="W20" s="2"/>
      <c r="X20" s="7">
        <f t="shared" si="6"/>
        <v>266.52999999999997</v>
      </c>
      <c r="Y20" s="2"/>
      <c r="Z20" s="6">
        <f t="shared" si="7"/>
        <v>0.17765232055136004</v>
      </c>
    </row>
    <row r="21" spans="1:26" s="27" customFormat="1" outlineLevel="1" collapsed="1" x14ac:dyDescent="0.25">
      <c r="A21" s="29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47.9</v>
      </c>
      <c r="E21" s="1"/>
      <c r="F21" s="5">
        <f t="shared" si="0"/>
        <v>0</v>
      </c>
      <c r="G21" s="1"/>
      <c r="H21" s="1">
        <f>SUM(OSRRefH22_1x_0)</f>
        <v>48.23</v>
      </c>
      <c r="I21" s="1"/>
      <c r="J21" s="5">
        <f t="shared" si="1"/>
        <v>0</v>
      </c>
      <c r="K21" s="1"/>
      <c r="L21" s="1">
        <f t="shared" si="2"/>
        <v>-0.32999999999999829</v>
      </c>
      <c r="M21" s="1"/>
      <c r="N21" s="5">
        <f t="shared" si="3"/>
        <v>-6.8422143893841656E-3</v>
      </c>
      <c r="O21" s="14"/>
      <c r="P21" s="1">
        <f>SUM(OSRRefP22_1x_0)</f>
        <v>47.9</v>
      </c>
      <c r="Q21" s="1"/>
      <c r="R21" s="5">
        <f t="shared" si="4"/>
        <v>0</v>
      </c>
      <c r="S21" s="1"/>
      <c r="T21" s="1">
        <f>SUM(OSRRefT22_1x_0)</f>
        <v>280.13</v>
      </c>
      <c r="U21" s="1"/>
      <c r="V21" s="5">
        <f t="shared" si="5"/>
        <v>0</v>
      </c>
      <c r="W21" s="1"/>
      <c r="X21" s="1">
        <f t="shared" si="6"/>
        <v>-232.23</v>
      </c>
      <c r="Y21" s="1"/>
      <c r="Z21" s="5">
        <f t="shared" si="7"/>
        <v>-0.82900796058972614</v>
      </c>
    </row>
    <row r="22" spans="1:26" s="24" customFormat="1" hidden="1" outlineLevel="2" x14ac:dyDescent="0.25">
      <c r="A22" s="28"/>
      <c r="B22" s="11" t="str">
        <f>CONCATENATE("          ", "6373", " - ", "MAINTENANCE CONTRACTS")</f>
        <v xml:space="preserve">          6373 - MAINTENANCE CONTRACTS</v>
      </c>
      <c r="C22" s="11"/>
      <c r="D22" s="7">
        <v>47.9</v>
      </c>
      <c r="E22" s="2"/>
      <c r="F22" s="6">
        <f t="shared" si="0"/>
        <v>0</v>
      </c>
      <c r="G22" s="2"/>
      <c r="H22" s="7">
        <v>48.23</v>
      </c>
      <c r="I22" s="2"/>
      <c r="J22" s="6">
        <f t="shared" si="1"/>
        <v>0</v>
      </c>
      <c r="K22" s="2"/>
      <c r="L22" s="7">
        <f t="shared" si="2"/>
        <v>-0.32999999999999829</v>
      </c>
      <c r="M22" s="2"/>
      <c r="N22" s="6">
        <f t="shared" si="3"/>
        <v>-6.8422143893841656E-3</v>
      </c>
      <c r="O22" s="11"/>
      <c r="P22" s="7">
        <v>47.9</v>
      </c>
      <c r="Q22" s="2"/>
      <c r="R22" s="6">
        <f t="shared" si="4"/>
        <v>0</v>
      </c>
      <c r="S22" s="2"/>
      <c r="T22" s="7">
        <v>166.13</v>
      </c>
      <c r="U22" s="2"/>
      <c r="V22" s="6">
        <f t="shared" si="5"/>
        <v>0</v>
      </c>
      <c r="W22" s="2"/>
      <c r="X22" s="7">
        <f t="shared" si="6"/>
        <v>-118.22999999999999</v>
      </c>
      <c r="Y22" s="2"/>
      <c r="Z22" s="6">
        <f t="shared" si="7"/>
        <v>-0.71167158249563589</v>
      </c>
    </row>
    <row r="23" spans="1:26" s="24" customFormat="1" hidden="1" outlineLevel="2" x14ac:dyDescent="0.25">
      <c r="A23" s="28"/>
      <c r="B23" s="11" t="str">
        <f>CONCATENATE("          ", "6375", " - ", "OUTSIDE REPAIRS &amp; MAINTENANCE")</f>
        <v xml:space="preserve">          6375 - OUTSIDE REPAIRS &amp; MAINTENANCE</v>
      </c>
      <c r="C23" s="11"/>
      <c r="D23" s="7"/>
      <c r="E23" s="2"/>
      <c r="F23" s="6">
        <f t="shared" si="0"/>
        <v>0</v>
      </c>
      <c r="G23" s="2"/>
      <c r="H23" s="7"/>
      <c r="I23" s="2"/>
      <c r="J23" s="6">
        <f t="shared" si="1"/>
        <v>0</v>
      </c>
      <c r="K23" s="2"/>
      <c r="L23" s="7">
        <f t="shared" si="2"/>
        <v>0</v>
      </c>
      <c r="M23" s="2"/>
      <c r="N23" s="6">
        <f t="shared" si="3"/>
        <v>0</v>
      </c>
      <c r="O23" s="11"/>
      <c r="P23" s="7"/>
      <c r="Q23" s="2"/>
      <c r="R23" s="6">
        <f t="shared" si="4"/>
        <v>0</v>
      </c>
      <c r="S23" s="2"/>
      <c r="T23" s="7">
        <v>114</v>
      </c>
      <c r="U23" s="2"/>
      <c r="V23" s="6">
        <f t="shared" si="5"/>
        <v>0</v>
      </c>
      <c r="W23" s="2"/>
      <c r="X23" s="7">
        <f t="shared" si="6"/>
        <v>-114</v>
      </c>
      <c r="Y23" s="2"/>
      <c r="Z23" s="6">
        <f t="shared" si="7"/>
        <v>-1</v>
      </c>
    </row>
    <row r="24" spans="1:26" s="27" customFormat="1" outlineLevel="1" collapsed="1" x14ac:dyDescent="0.25">
      <c r="A24" s="29"/>
      <c r="B24" s="14" t="str">
        <f>CONCATENATE("     ","Services                                          ")</f>
        <v xml:space="preserve">     Services                                          </v>
      </c>
      <c r="C24" s="14"/>
      <c r="D24" s="1">
        <f>SUM(OSRRefD22_2x_0)</f>
        <v>151.85</v>
      </c>
      <c r="E24" s="1"/>
      <c r="F24" s="5">
        <f t="shared" ref="F24:F26" si="8">IF(D$12=0,0,D24/D$12)</f>
        <v>0</v>
      </c>
      <c r="G24" s="1"/>
      <c r="H24" s="1">
        <f>SUM(OSRRefH22_2x_0)</f>
        <v>0</v>
      </c>
      <c r="I24" s="1"/>
      <c r="J24" s="5">
        <f t="shared" ref="J24:J26" si="9">IF(H$12=0,0,H24/H$12)</f>
        <v>0</v>
      </c>
      <c r="K24" s="1"/>
      <c r="L24" s="1">
        <f t="shared" ref="L24:L26" si="10">+D24-H24</f>
        <v>151.85</v>
      </c>
      <c r="M24" s="1"/>
      <c r="N24" s="5">
        <f t="shared" ref="N24:N26" si="11">IF(H24=0,0,L24/H24)</f>
        <v>0</v>
      </c>
      <c r="O24" s="14"/>
      <c r="P24" s="1">
        <f>SUM(OSRRefP22_2x_0)</f>
        <v>578.47</v>
      </c>
      <c r="Q24" s="1"/>
      <c r="R24" s="5">
        <f t="shared" ref="R24:R26" si="12">IF(P$12=0,0,P24/P$12)</f>
        <v>0</v>
      </c>
      <c r="S24" s="1"/>
      <c r="T24" s="1">
        <f>SUM(OSRRefT22_2x_0)</f>
        <v>-374.91999999999996</v>
      </c>
      <c r="U24" s="1"/>
      <c r="V24" s="5">
        <f t="shared" ref="V24:V26" si="13">IF(T$12=0,0,T24/T$12)</f>
        <v>0</v>
      </c>
      <c r="W24" s="1"/>
      <c r="X24" s="1">
        <f t="shared" ref="X24:X26" si="14">+P24-T24</f>
        <v>953.39</v>
      </c>
      <c r="Y24" s="1"/>
      <c r="Z24" s="5">
        <f t="shared" ref="Z24:Z26" si="15">IF(T24=0,0,X24/T24)</f>
        <v>-2.542915822042036</v>
      </c>
    </row>
    <row r="25" spans="1:26" s="24" customFormat="1" hidden="1" outlineLevel="2" x14ac:dyDescent="0.25">
      <c r="A25" s="28"/>
      <c r="B25" s="11" t="str">
        <f>CONCATENATE("          ", "6282", " - ", "JANITORIAL/EXTERMINATOR EXPENS")</f>
        <v xml:space="preserve">          6282 - JANITORIAL/EXTERMINATOR EXPENS</v>
      </c>
      <c r="C25" s="11"/>
      <c r="D25" s="7">
        <v>151.85</v>
      </c>
      <c r="E25" s="2"/>
      <c r="F25" s="6">
        <f t="shared" si="8"/>
        <v>0</v>
      </c>
      <c r="G25" s="2"/>
      <c r="H25" s="7"/>
      <c r="I25" s="2"/>
      <c r="J25" s="6">
        <f t="shared" si="9"/>
        <v>0</v>
      </c>
      <c r="K25" s="2"/>
      <c r="L25" s="7">
        <f t="shared" si="10"/>
        <v>151.85</v>
      </c>
      <c r="M25" s="2"/>
      <c r="N25" s="6">
        <f t="shared" si="11"/>
        <v>0</v>
      </c>
      <c r="O25" s="11"/>
      <c r="P25" s="7">
        <v>455.55</v>
      </c>
      <c r="Q25" s="2"/>
      <c r="R25" s="6">
        <f t="shared" si="12"/>
        <v>0</v>
      </c>
      <c r="S25" s="2"/>
      <c r="T25" s="7">
        <v>-201.88</v>
      </c>
      <c r="U25" s="2"/>
      <c r="V25" s="6">
        <f t="shared" si="13"/>
        <v>0</v>
      </c>
      <c r="W25" s="2"/>
      <c r="X25" s="7">
        <f t="shared" si="14"/>
        <v>657.43000000000006</v>
      </c>
      <c r="Y25" s="2"/>
      <c r="Z25" s="6">
        <f t="shared" si="15"/>
        <v>-3.2565385377451954</v>
      </c>
    </row>
    <row r="26" spans="1:26" s="24" customFormat="1" hidden="1" outlineLevel="2" x14ac:dyDescent="0.25">
      <c r="A26" s="28"/>
      <c r="B26" s="11" t="str">
        <f>CONCATENATE("          ", "6285", " - ", "JANITORIAL SERVICES")</f>
        <v xml:space="preserve">          6285 - JANITORIAL SERVICES</v>
      </c>
      <c r="C26" s="11"/>
      <c r="D26" s="7"/>
      <c r="E26" s="2"/>
      <c r="F26" s="6">
        <f t="shared" si="8"/>
        <v>0</v>
      </c>
      <c r="G26" s="2"/>
      <c r="H26" s="7"/>
      <c r="I26" s="2"/>
      <c r="J26" s="6">
        <f t="shared" si="9"/>
        <v>0</v>
      </c>
      <c r="K26" s="2"/>
      <c r="L26" s="7">
        <f t="shared" si="10"/>
        <v>0</v>
      </c>
      <c r="M26" s="2"/>
      <c r="N26" s="6">
        <f t="shared" si="11"/>
        <v>0</v>
      </c>
      <c r="O26" s="11"/>
      <c r="P26" s="7">
        <v>122.92</v>
      </c>
      <c r="Q26" s="2"/>
      <c r="R26" s="6">
        <f t="shared" si="12"/>
        <v>0</v>
      </c>
      <c r="S26" s="2"/>
      <c r="T26" s="7">
        <v>-173.04</v>
      </c>
      <c r="U26" s="2"/>
      <c r="V26" s="6">
        <f t="shared" si="13"/>
        <v>0</v>
      </c>
      <c r="W26" s="2"/>
      <c r="X26" s="7">
        <f t="shared" si="14"/>
        <v>295.95999999999998</v>
      </c>
      <c r="Y26" s="2"/>
      <c r="Z26" s="6">
        <f t="shared" si="15"/>
        <v>-1.7103559870550162</v>
      </c>
    </row>
    <row r="27" spans="1:26" s="27" customFormat="1" outlineLevel="1" collapsed="1" x14ac:dyDescent="0.25">
      <c r="A27" s="29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SUM(OSRRefD22_3x_0)</f>
        <v>30</v>
      </c>
      <c r="E27" s="1"/>
      <c r="F27" s="5">
        <f t="shared" ref="F27:F28" si="16">IF(D$12=0,0,D27/D$12)</f>
        <v>0</v>
      </c>
      <c r="G27" s="1"/>
      <c r="H27" s="1">
        <f>SUM(OSRRefH22_3x_0)</f>
        <v>-6.13</v>
      </c>
      <c r="I27" s="1"/>
      <c r="J27" s="5">
        <f t="shared" ref="J27:J28" si="17">IF(H$12=0,0,H27/H$12)</f>
        <v>0</v>
      </c>
      <c r="K27" s="1"/>
      <c r="L27" s="1">
        <f t="shared" ref="L27:L28" si="18">+D27-H27</f>
        <v>36.130000000000003</v>
      </c>
      <c r="M27" s="1"/>
      <c r="N27" s="5">
        <f t="shared" ref="N27:N28" si="19">IF(H27=0,0,L27/H27)</f>
        <v>-5.8939641109298533</v>
      </c>
      <c r="O27" s="14"/>
      <c r="P27" s="1">
        <f>SUM(OSRRefP22_3x_0)</f>
        <v>90</v>
      </c>
      <c r="Q27" s="1"/>
      <c r="R27" s="5">
        <f t="shared" ref="R27:R28" si="20">IF(P$12=0,0,P27/P$12)</f>
        <v>0</v>
      </c>
      <c r="S27" s="1"/>
      <c r="T27" s="1">
        <f>SUM(OSRRefT22_3x_0)</f>
        <v>175.89</v>
      </c>
      <c r="U27" s="1"/>
      <c r="V27" s="5">
        <f t="shared" ref="V27:V28" si="21">IF(T$12=0,0,T27/T$12)</f>
        <v>0</v>
      </c>
      <c r="W27" s="1"/>
      <c r="X27" s="1">
        <f t="shared" ref="X27:X28" si="22">+P27-T27</f>
        <v>-85.889999999999986</v>
      </c>
      <c r="Y27" s="1"/>
      <c r="Z27" s="5">
        <f t="shared" ref="Z27:Z28" si="23">IF(T27=0,0,X27/T27)</f>
        <v>-0.48831656148729313</v>
      </c>
    </row>
    <row r="28" spans="1:26" s="24" customFormat="1" hidden="1" outlineLevel="2" x14ac:dyDescent="0.25">
      <c r="A28" s="28"/>
      <c r="B28" s="11" t="str">
        <f>CONCATENATE("          ", "6309", " - ", "TELEPHONE")</f>
        <v xml:space="preserve">          6309 - TELEPHONE</v>
      </c>
      <c r="C28" s="11"/>
      <c r="D28" s="7">
        <v>30</v>
      </c>
      <c r="E28" s="2"/>
      <c r="F28" s="6">
        <f t="shared" si="16"/>
        <v>0</v>
      </c>
      <c r="G28" s="2"/>
      <c r="H28" s="7">
        <v>-6.13</v>
      </c>
      <c r="I28" s="2"/>
      <c r="J28" s="6">
        <f t="shared" si="17"/>
        <v>0</v>
      </c>
      <c r="K28" s="2"/>
      <c r="L28" s="7">
        <f t="shared" si="18"/>
        <v>36.130000000000003</v>
      </c>
      <c r="M28" s="2"/>
      <c r="N28" s="6">
        <f t="shared" si="19"/>
        <v>-5.8939641109298533</v>
      </c>
      <c r="O28" s="11"/>
      <c r="P28" s="7">
        <v>90</v>
      </c>
      <c r="Q28" s="2"/>
      <c r="R28" s="6">
        <f t="shared" si="20"/>
        <v>0</v>
      </c>
      <c r="S28" s="2"/>
      <c r="T28" s="7">
        <v>175.89</v>
      </c>
      <c r="U28" s="2"/>
      <c r="V28" s="6">
        <f t="shared" si="21"/>
        <v>0</v>
      </c>
      <c r="W28" s="2"/>
      <c r="X28" s="7">
        <f t="shared" si="22"/>
        <v>-85.889999999999986</v>
      </c>
      <c r="Y28" s="2"/>
      <c r="Z28" s="6">
        <f t="shared" si="23"/>
        <v>-0.48831656148729313</v>
      </c>
    </row>
    <row r="29" spans="1:26" s="54" customFormat="1" x14ac:dyDescent="0.25">
      <c r="A29" s="37"/>
      <c r="B29" s="37"/>
      <c r="C29" s="37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6" t="s">
        <v>292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5" t="s">
        <v>276</v>
      </c>
      <c r="C32" s="25"/>
      <c r="D32" s="21">
        <f>+D16-D18+D30</f>
        <v>-818.69</v>
      </c>
      <c r="E32" s="13"/>
      <c r="F32" s="22">
        <f>IF(D$12=0,0,D32/D$12)</f>
        <v>0</v>
      </c>
      <c r="G32" s="13"/>
      <c r="H32" s="21">
        <f>+H16-H18+H30</f>
        <v>-630.27</v>
      </c>
      <c r="I32" s="13"/>
      <c r="J32" s="22">
        <f>IF(H$12=0,0,H32/H$12)</f>
        <v>0</v>
      </c>
      <c r="K32" s="16"/>
      <c r="L32" s="21">
        <f>+D32-H32</f>
        <v>-188.42000000000007</v>
      </c>
      <c r="M32" s="16"/>
      <c r="N32" s="22">
        <f>IF(H32=0,0,L32/H32)</f>
        <v>0.2989512431180289</v>
      </c>
      <c r="O32" s="26"/>
      <c r="P32" s="21">
        <f>+P16-P18+P30</f>
        <v>-2483.19</v>
      </c>
      <c r="Q32" s="13"/>
      <c r="R32" s="22">
        <f>IF(P$12=0,0,P32/P$12)</f>
        <v>0</v>
      </c>
      <c r="S32" s="13"/>
      <c r="T32" s="21">
        <f>+T16-T18+T30</f>
        <v>-1581.3899999999999</v>
      </c>
      <c r="U32" s="13"/>
      <c r="V32" s="22">
        <f>IF(T$12=0,0,T32/T$12)</f>
        <v>0</v>
      </c>
      <c r="W32" s="16"/>
      <c r="X32" s="21">
        <f>+P32-T32</f>
        <v>-901.80000000000018</v>
      </c>
      <c r="Y32" s="16"/>
      <c r="Z32" s="22">
        <f>IF(T32=0,0,X32/T32)</f>
        <v>0.57025781116612617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125</v>
      </c>
      <c r="C36" s="25"/>
      <c r="D36" s="33">
        <f>+D32-D34</f>
        <v>-818.69</v>
      </c>
      <c r="E36" s="13"/>
      <c r="F36" s="35">
        <f>IF(D$12=0,0,D36/D$12)</f>
        <v>0</v>
      </c>
      <c r="G36" s="13"/>
      <c r="H36" s="33">
        <f>+H32-H34</f>
        <v>-630.27</v>
      </c>
      <c r="I36" s="13"/>
      <c r="J36" s="35">
        <f>IF(H$12=0,0,H36/H$12)</f>
        <v>0</v>
      </c>
      <c r="K36" s="16"/>
      <c r="L36" s="33">
        <f>D36-H36</f>
        <v>-188.42000000000007</v>
      </c>
      <c r="M36" s="16"/>
      <c r="N36" s="35">
        <f>IF(H36=0,0,L36/H36)</f>
        <v>0.2989512431180289</v>
      </c>
      <c r="O36" s="26"/>
      <c r="P36" s="33">
        <f>+P32-P34</f>
        <v>-2483.19</v>
      </c>
      <c r="Q36" s="13"/>
      <c r="R36" s="35">
        <f>IF(P$12=0,0,P36/P$12)</f>
        <v>0</v>
      </c>
      <c r="S36" s="13"/>
      <c r="T36" s="33">
        <f>+T32-T34</f>
        <v>-1581.3899999999999</v>
      </c>
      <c r="U36" s="13"/>
      <c r="V36" s="35">
        <f>IF(T$12=0,0,T36/T$12)</f>
        <v>0</v>
      </c>
      <c r="W36" s="16"/>
      <c r="X36" s="33">
        <f>P36-T36</f>
        <v>-901.80000000000018</v>
      </c>
      <c r="Y36" s="16"/>
      <c r="Z36" s="35">
        <f>IF(T36=0,0,X36/T36)</f>
        <v>0.57025781116612617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5" t="s">
        <v>293</v>
      </c>
      <c r="C39" s="25"/>
      <c r="D39" s="31">
        <f>SUM(D36:D38)</f>
        <v>-818.69</v>
      </c>
      <c r="E39" s="13"/>
      <c r="F39" s="32">
        <f>IF(D$12=0,0,D39/D$12)</f>
        <v>0</v>
      </c>
      <c r="G39" s="13"/>
      <c r="H39" s="31">
        <f>SUM(H36:H38)</f>
        <v>-630.27</v>
      </c>
      <c r="I39" s="13"/>
      <c r="J39" s="32">
        <f>IF(H$12=0,0,H39/H$12)</f>
        <v>0</v>
      </c>
      <c r="K39" s="16"/>
      <c r="L39" s="31">
        <f>+D39-H39</f>
        <v>-188.42000000000007</v>
      </c>
      <c r="M39" s="16"/>
      <c r="N39" s="32">
        <f>IF(H39=0,0,L39/H39)</f>
        <v>0.2989512431180289</v>
      </c>
      <c r="O39" s="26"/>
      <c r="P39" s="31">
        <f>SUM(P36:P38)</f>
        <v>-2483.19</v>
      </c>
      <c r="Q39" s="13"/>
      <c r="R39" s="32">
        <f>IF(P$12=0,0,P39/P$12)</f>
        <v>0</v>
      </c>
      <c r="S39" s="13"/>
      <c r="T39" s="31">
        <f>SUM(T36:T38)</f>
        <v>-1581.3899999999999</v>
      </c>
      <c r="U39" s="13"/>
      <c r="V39" s="32">
        <f>IF(T$12=0,0,T39/T$12)</f>
        <v>0</v>
      </c>
      <c r="W39" s="16"/>
      <c r="X39" s="31">
        <f>+P39-T39</f>
        <v>-901.80000000000018</v>
      </c>
      <c r="Y39" s="16"/>
      <c r="Z39" s="32">
        <f>IF(T39=0,0,X39/T39)</f>
        <v>0.57025781116612617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8">
        <v>44481.985668518515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3" t="s">
        <v>56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52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","313", " - ", "Convenience Store")</f>
        <v>Department 313 - Convenience Store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6" si="0">+D12-H12</f>
        <v>0</v>
      </c>
      <c r="M12" s="4"/>
      <c r="N12" s="12">
        <f t="shared" ref="N12:N16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6" si="2">+P12-T12</f>
        <v>0</v>
      </c>
      <c r="Y12" s="4"/>
      <c r="Z12" s="12">
        <f t="shared" ref="Z12:Z16" si="3">IF(T12=0,0,X12/T12)</f>
        <v>0</v>
      </c>
    </row>
    <row r="13" spans="1:26" s="24" customFormat="1" hidden="1" outlineLevel="1" x14ac:dyDescent="0.25">
      <c r="A13" s="44"/>
      <c r="B13" s="11" t="str">
        <f>CONCATENATE("          ", "4034", " - ", "TAXABLE SALES-SODA")</f>
        <v xml:space="preserve">          4034 - TAXABLE SALES-SODA</v>
      </c>
      <c r="C13" s="11"/>
      <c r="D13" s="2">
        <f t="shared" ref="D13:D16" si="4">0</f>
        <v>0</v>
      </c>
      <c r="E13" s="2"/>
      <c r="F13" s="19"/>
      <c r="G13" s="2"/>
      <c r="H13" s="2">
        <f t="shared" ref="H13:H16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6" si="6">0</f>
        <v>0</v>
      </c>
      <c r="Q13" s="2"/>
      <c r="R13" s="19"/>
      <c r="S13" s="2"/>
      <c r="T13" s="2">
        <f t="shared" ref="T13:T16" si="7"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6"/>
        <v>0</v>
      </c>
      <c r="Q14" s="2"/>
      <c r="R14" s="19"/>
      <c r="S14" s="2"/>
      <c r="T14" s="2">
        <f t="shared" si="7"/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"4134", " - ", "NON-TAXABLE SALES-SODA")</f>
        <v xml:space="preserve">          4134 - NON-TAXABLE SALES-SODA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 t="shared" si="7"/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"4137", " - ", "NON-TAXABLE SALES-WATER")</f>
        <v xml:space="preserve">          4137 - NON-TAXABLE SALES-WATER</v>
      </c>
      <c r="C16" s="11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6"/>
        <v>0</v>
      </c>
      <c r="Q16" s="2"/>
      <c r="R16" s="19"/>
      <c r="S16" s="2"/>
      <c r="T16" s="2">
        <f t="shared" si="7"/>
        <v>0</v>
      </c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256</v>
      </c>
      <c r="C18" s="10"/>
      <c r="D18" s="4">
        <f>SUM(OSRRefD16x_0)</f>
        <v>0</v>
      </c>
      <c r="E18" s="4"/>
      <c r="F18" s="12">
        <f t="shared" ref="F18:F19" si="8">IF(D$12=0,0,D18/D$12)</f>
        <v>0</v>
      </c>
      <c r="G18" s="4"/>
      <c r="H18" s="4">
        <f>SUM(OSRRefH16x_0)</f>
        <v>0</v>
      </c>
      <c r="I18" s="4"/>
      <c r="J18" s="12">
        <f t="shared" ref="J18:J19" si="9">IF(H$12=0,0,H18/H$12)</f>
        <v>0</v>
      </c>
      <c r="K18" s="4"/>
      <c r="L18" s="4">
        <f t="shared" ref="L18:L19" si="10">+D18-H18</f>
        <v>0</v>
      </c>
      <c r="M18" s="4"/>
      <c r="N18" s="12">
        <f t="shared" ref="N18:N19" si="11">IF(H18=0,0,L18/H18)</f>
        <v>0</v>
      </c>
      <c r="O18" s="10"/>
      <c r="P18" s="4">
        <f>SUM(OSRRefP16x_0)</f>
        <v>0</v>
      </c>
      <c r="Q18" s="4"/>
      <c r="R18" s="12">
        <f t="shared" ref="R18:R19" si="12">IF(P$12=0,0,P18/P$12)</f>
        <v>0</v>
      </c>
      <c r="S18" s="4"/>
      <c r="T18" s="4">
        <f>SUM(OSRRefT16x_0)</f>
        <v>-613.59</v>
      </c>
      <c r="U18" s="4"/>
      <c r="V18" s="12">
        <f t="shared" ref="V18:V19" si="13">IF(T$12=0,0,T18/T$12)</f>
        <v>0</v>
      </c>
      <c r="W18" s="4"/>
      <c r="X18" s="4">
        <f t="shared" ref="X18:X19" si="14">+P18-T18</f>
        <v>613.59</v>
      </c>
      <c r="Y18" s="4"/>
      <c r="Z18" s="12">
        <f t="shared" ref="Z18:Z19" si="15">IF(T18=0,0,X18/T18)</f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8"/>
        <v>0</v>
      </c>
      <c r="G19" s="2"/>
      <c r="H19" s="2"/>
      <c r="I19" s="2"/>
      <c r="J19" s="19">
        <f t="shared" si="9"/>
        <v>0</v>
      </c>
      <c r="K19" s="2"/>
      <c r="L19" s="2">
        <f t="shared" si="10"/>
        <v>0</v>
      </c>
      <c r="M19" s="2"/>
      <c r="N19" s="19">
        <f t="shared" si="11"/>
        <v>0</v>
      </c>
      <c r="O19" s="11"/>
      <c r="P19" s="2"/>
      <c r="Q19" s="2"/>
      <c r="R19" s="19">
        <f t="shared" si="12"/>
        <v>0</v>
      </c>
      <c r="S19" s="2"/>
      <c r="T19" s="2">
        <v>-613.59</v>
      </c>
      <c r="U19" s="2"/>
      <c r="V19" s="19">
        <f t="shared" si="13"/>
        <v>0</v>
      </c>
      <c r="W19" s="2"/>
      <c r="X19" s="2">
        <f t="shared" si="14"/>
        <v>613.59</v>
      </c>
      <c r="Y19" s="2"/>
      <c r="Z19" s="19">
        <f t="shared" si="15"/>
        <v>-1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107</v>
      </c>
      <c r="C21" s="25"/>
      <c r="D21" s="21">
        <f>D12-D18</f>
        <v>0</v>
      </c>
      <c r="E21" s="13"/>
      <c r="F21" s="22">
        <f>IF(D$12=0,0,D21/D$12)</f>
        <v>0</v>
      </c>
      <c r="G21" s="13"/>
      <c r="H21" s="21">
        <f>H12-H18</f>
        <v>0</v>
      </c>
      <c r="I21" s="13"/>
      <c r="J21" s="22">
        <f>IF(H$12=0,0,H21/H$12)</f>
        <v>0</v>
      </c>
      <c r="K21" s="16"/>
      <c r="L21" s="21">
        <f>+D21-H21</f>
        <v>0</v>
      </c>
      <c r="M21" s="16"/>
      <c r="N21" s="22">
        <f>IF(H21=0,0,L21/H21)</f>
        <v>0</v>
      </c>
      <c r="O21" s="26"/>
      <c r="P21" s="21">
        <f>P12-P18</f>
        <v>0</v>
      </c>
      <c r="Q21" s="13"/>
      <c r="R21" s="22">
        <f>IF(P$12=0,0,P21/P$12)</f>
        <v>0</v>
      </c>
      <c r="S21" s="13"/>
      <c r="T21" s="21">
        <f>T12-T18</f>
        <v>613.59</v>
      </c>
      <c r="U21" s="13"/>
      <c r="V21" s="22">
        <f>IF(T$12=0,0,T21/T$12)</f>
        <v>0</v>
      </c>
      <c r="W21" s="16"/>
      <c r="X21" s="21">
        <f>+P21-T21</f>
        <v>-613.59</v>
      </c>
      <c r="Y21" s="16"/>
      <c r="Z21" s="22">
        <f>IF(T21=0,0,X21/T21)</f>
        <v>-1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294</v>
      </c>
      <c r="C23" s="10"/>
      <c r="D23" s="20">
        <f>SUM(OSRRefD22x_0)</f>
        <v>0</v>
      </c>
      <c r="E23" s="20"/>
      <c r="F23" s="30">
        <f t="shared" ref="F23:F32" si="16">IF(D$12=0,0,D23/D$12)</f>
        <v>0</v>
      </c>
      <c r="G23" s="20"/>
      <c r="H23" s="20">
        <f>SUM(OSRRefH22x_0)</f>
        <v>9582.5499999999993</v>
      </c>
      <c r="I23" s="20"/>
      <c r="J23" s="30">
        <f t="shared" ref="J23:J32" si="17">IF(H$12=0,0,H23/H$12)</f>
        <v>0</v>
      </c>
      <c r="K23" s="4"/>
      <c r="L23" s="20">
        <f t="shared" ref="L23:L32" si="18">+D23-H23</f>
        <v>-9582.5499999999993</v>
      </c>
      <c r="M23" s="4"/>
      <c r="N23" s="30">
        <f t="shared" ref="N23:N32" si="19">IF(H23=0,0,L23/H23)</f>
        <v>-1</v>
      </c>
      <c r="O23" s="10"/>
      <c r="P23" s="20">
        <f>SUM(OSRRefP22x_0)</f>
        <v>0</v>
      </c>
      <c r="Q23" s="20"/>
      <c r="R23" s="30">
        <f t="shared" ref="R23:R32" si="20">IF(P$12=0,0,P23/P$12)</f>
        <v>0</v>
      </c>
      <c r="S23" s="20"/>
      <c r="T23" s="20">
        <f>SUM(OSRRefT22x_0)</f>
        <v>28937.779999999995</v>
      </c>
      <c r="U23" s="20"/>
      <c r="V23" s="30">
        <f t="shared" ref="V23:V32" si="21">IF(T$12=0,0,T23/T$12)</f>
        <v>0</v>
      </c>
      <c r="W23" s="4"/>
      <c r="X23" s="20">
        <f t="shared" ref="X23:X32" si="22">+P23-T23</f>
        <v>-28937.779999999995</v>
      </c>
      <c r="Y23" s="4"/>
      <c r="Z23" s="30">
        <f t="shared" ref="Z23:Z32" si="23">IF(T23=0,0,X23/T23)</f>
        <v>-1</v>
      </c>
    </row>
    <row r="24" spans="1:26" s="27" customFormat="1" outlineLevel="1" collapsed="1" x14ac:dyDescent="0.25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0</v>
      </c>
      <c r="E24" s="1"/>
      <c r="F24" s="5">
        <f t="shared" si="16"/>
        <v>0</v>
      </c>
      <c r="G24" s="1"/>
      <c r="H24" s="1">
        <f>SUM(OSRRefH22_0x_0)</f>
        <v>3929.6699999999996</v>
      </c>
      <c r="I24" s="1"/>
      <c r="J24" s="5">
        <f t="shared" si="17"/>
        <v>0</v>
      </c>
      <c r="K24" s="1"/>
      <c r="L24" s="1">
        <f t="shared" si="18"/>
        <v>-3929.6699999999996</v>
      </c>
      <c r="M24" s="1"/>
      <c r="N24" s="5">
        <f t="shared" si="19"/>
        <v>-1</v>
      </c>
      <c r="O24" s="14"/>
      <c r="P24" s="1">
        <f>SUM(OSRRefP22_0x_0)</f>
        <v>0</v>
      </c>
      <c r="Q24" s="1"/>
      <c r="R24" s="5">
        <f t="shared" si="20"/>
        <v>0</v>
      </c>
      <c r="S24" s="1"/>
      <c r="T24" s="1">
        <f>SUM(OSRRefT22_0x_0)</f>
        <v>11956.92</v>
      </c>
      <c r="U24" s="1"/>
      <c r="V24" s="5">
        <f t="shared" si="21"/>
        <v>0</v>
      </c>
      <c r="W24" s="1"/>
      <c r="X24" s="1">
        <f t="shared" si="22"/>
        <v>-11956.92</v>
      </c>
      <c r="Y24" s="1"/>
      <c r="Z24" s="5">
        <f t="shared" si="23"/>
        <v>-1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6"/>
        <v>0</v>
      </c>
      <c r="G25" s="2"/>
      <c r="H25" s="7">
        <v>357.68</v>
      </c>
      <c r="I25" s="2"/>
      <c r="J25" s="6">
        <f t="shared" si="17"/>
        <v>0</v>
      </c>
      <c r="K25" s="2"/>
      <c r="L25" s="7">
        <f t="shared" si="18"/>
        <v>-357.68</v>
      </c>
      <c r="M25" s="2"/>
      <c r="N25" s="6">
        <f t="shared" si="19"/>
        <v>-1</v>
      </c>
      <c r="O25" s="11"/>
      <c r="P25" s="7"/>
      <c r="Q25" s="2"/>
      <c r="R25" s="6">
        <f t="shared" si="20"/>
        <v>0</v>
      </c>
      <c r="S25" s="2"/>
      <c r="T25" s="7">
        <v>1099.18</v>
      </c>
      <c r="U25" s="2"/>
      <c r="V25" s="6">
        <f t="shared" si="21"/>
        <v>0</v>
      </c>
      <c r="W25" s="2"/>
      <c r="X25" s="7">
        <f t="shared" si="22"/>
        <v>-1099.18</v>
      </c>
      <c r="Y25" s="2"/>
      <c r="Z25" s="6">
        <f t="shared" si="23"/>
        <v>-1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6"/>
        <v>0</v>
      </c>
      <c r="G26" s="2"/>
      <c r="H26" s="7">
        <v>86.5</v>
      </c>
      <c r="I26" s="2"/>
      <c r="J26" s="6">
        <f t="shared" si="17"/>
        <v>0</v>
      </c>
      <c r="K26" s="2"/>
      <c r="L26" s="7">
        <f t="shared" si="18"/>
        <v>-86.5</v>
      </c>
      <c r="M26" s="2"/>
      <c r="N26" s="6">
        <f t="shared" si="19"/>
        <v>-1</v>
      </c>
      <c r="O26" s="11"/>
      <c r="P26" s="7"/>
      <c r="Q26" s="2"/>
      <c r="R26" s="6">
        <f t="shared" si="20"/>
        <v>0</v>
      </c>
      <c r="S26" s="2"/>
      <c r="T26" s="7">
        <v>265.82</v>
      </c>
      <c r="U26" s="2"/>
      <c r="V26" s="6">
        <f t="shared" si="21"/>
        <v>0</v>
      </c>
      <c r="W26" s="2"/>
      <c r="X26" s="7">
        <f t="shared" si="22"/>
        <v>-265.82</v>
      </c>
      <c r="Y26" s="2"/>
      <c r="Z26" s="6">
        <f t="shared" si="23"/>
        <v>-1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6"/>
        <v>0</v>
      </c>
      <c r="G27" s="2"/>
      <c r="H27" s="7">
        <v>2021.26</v>
      </c>
      <c r="I27" s="2"/>
      <c r="J27" s="6">
        <f t="shared" si="17"/>
        <v>0</v>
      </c>
      <c r="K27" s="2"/>
      <c r="L27" s="7">
        <f t="shared" si="18"/>
        <v>-2021.26</v>
      </c>
      <c r="M27" s="2"/>
      <c r="N27" s="6">
        <f t="shared" si="19"/>
        <v>-1</v>
      </c>
      <c r="O27" s="11"/>
      <c r="P27" s="7"/>
      <c r="Q27" s="2"/>
      <c r="R27" s="6">
        <f t="shared" si="20"/>
        <v>0</v>
      </c>
      <c r="S27" s="2"/>
      <c r="T27" s="7">
        <v>6063.78</v>
      </c>
      <c r="U27" s="2"/>
      <c r="V27" s="6">
        <f t="shared" si="21"/>
        <v>0</v>
      </c>
      <c r="W27" s="2"/>
      <c r="X27" s="7">
        <f t="shared" si="22"/>
        <v>-6063.78</v>
      </c>
      <c r="Y27" s="2"/>
      <c r="Z27" s="6">
        <f t="shared" si="23"/>
        <v>-1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6"/>
        <v>0</v>
      </c>
      <c r="G28" s="2"/>
      <c r="H28" s="7">
        <v>12.16</v>
      </c>
      <c r="I28" s="2"/>
      <c r="J28" s="6">
        <f t="shared" si="17"/>
        <v>0</v>
      </c>
      <c r="K28" s="2"/>
      <c r="L28" s="7">
        <f t="shared" si="18"/>
        <v>-12.16</v>
      </c>
      <c r="M28" s="2"/>
      <c r="N28" s="6">
        <f t="shared" si="19"/>
        <v>-1</v>
      </c>
      <c r="O28" s="11"/>
      <c r="P28" s="7"/>
      <c r="Q28" s="2"/>
      <c r="R28" s="6">
        <f t="shared" si="20"/>
        <v>0</v>
      </c>
      <c r="S28" s="2"/>
      <c r="T28" s="7">
        <v>37.36</v>
      </c>
      <c r="U28" s="2"/>
      <c r="V28" s="6">
        <f t="shared" si="21"/>
        <v>0</v>
      </c>
      <c r="W28" s="2"/>
      <c r="X28" s="7">
        <f t="shared" si="22"/>
        <v>-37.36</v>
      </c>
      <c r="Y28" s="2"/>
      <c r="Z28" s="6">
        <f t="shared" si="23"/>
        <v>-1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6"/>
        <v>0</v>
      </c>
      <c r="G29" s="2"/>
      <c r="H29" s="7">
        <v>614.05999999999995</v>
      </c>
      <c r="I29" s="2"/>
      <c r="J29" s="6">
        <f t="shared" si="17"/>
        <v>0</v>
      </c>
      <c r="K29" s="2"/>
      <c r="L29" s="7">
        <f t="shared" si="18"/>
        <v>-614.05999999999995</v>
      </c>
      <c r="M29" s="2"/>
      <c r="N29" s="6">
        <f t="shared" si="19"/>
        <v>-1</v>
      </c>
      <c r="O29" s="11"/>
      <c r="P29" s="7"/>
      <c r="Q29" s="2"/>
      <c r="R29" s="6">
        <f t="shared" si="20"/>
        <v>0</v>
      </c>
      <c r="S29" s="2"/>
      <c r="T29" s="7">
        <v>2149.21</v>
      </c>
      <c r="U29" s="2"/>
      <c r="V29" s="6">
        <f t="shared" si="21"/>
        <v>0</v>
      </c>
      <c r="W29" s="2"/>
      <c r="X29" s="7">
        <f t="shared" si="22"/>
        <v>-2149.21</v>
      </c>
      <c r="Y29" s="2"/>
      <c r="Z29" s="6">
        <f t="shared" si="23"/>
        <v>-1</v>
      </c>
    </row>
    <row r="30" spans="1:26" s="24" customFormat="1" hidden="1" outlineLevel="2" x14ac:dyDescent="0.25">
      <c r="A30" s="28"/>
      <c r="B30" s="11" t="str">
        <f>CONCATENATE("          ", "6118", " - ", "VACATION")</f>
        <v xml:space="preserve">          6118 - VACATION</v>
      </c>
      <c r="C30" s="11"/>
      <c r="D30" s="7"/>
      <c r="E30" s="2"/>
      <c r="F30" s="6">
        <f t="shared" si="16"/>
        <v>0</v>
      </c>
      <c r="G30" s="2"/>
      <c r="H30" s="7">
        <v>407.06</v>
      </c>
      <c r="I30" s="2"/>
      <c r="J30" s="6">
        <f t="shared" si="17"/>
        <v>0</v>
      </c>
      <c r="K30" s="2"/>
      <c r="L30" s="7">
        <f t="shared" si="18"/>
        <v>-407.06</v>
      </c>
      <c r="M30" s="2"/>
      <c r="N30" s="6">
        <f t="shared" si="19"/>
        <v>-1</v>
      </c>
      <c r="O30" s="11"/>
      <c r="P30" s="7"/>
      <c r="Q30" s="2"/>
      <c r="R30" s="6">
        <f t="shared" si="20"/>
        <v>0</v>
      </c>
      <c r="S30" s="2"/>
      <c r="T30" s="7">
        <v>1221.18</v>
      </c>
      <c r="U30" s="2"/>
      <c r="V30" s="6">
        <f t="shared" si="21"/>
        <v>0</v>
      </c>
      <c r="W30" s="2"/>
      <c r="X30" s="7">
        <f t="shared" si="22"/>
        <v>-1221.18</v>
      </c>
      <c r="Y30" s="2"/>
      <c r="Z30" s="6">
        <f t="shared" si="23"/>
        <v>-1</v>
      </c>
    </row>
    <row r="31" spans="1:26" s="24" customFormat="1" hidden="1" outlineLevel="2" x14ac:dyDescent="0.25">
      <c r="A31" s="28"/>
      <c r="B31" s="11" t="str">
        <f>CONCATENATE("          ", "6119", " - ", "SICK LEAVE")</f>
        <v xml:space="preserve">          6119 - SICK LEAVE</v>
      </c>
      <c r="C31" s="11"/>
      <c r="D31" s="7"/>
      <c r="E31" s="2"/>
      <c r="F31" s="6">
        <f t="shared" si="16"/>
        <v>0</v>
      </c>
      <c r="G31" s="2"/>
      <c r="H31" s="7">
        <v>256.76</v>
      </c>
      <c r="I31" s="2"/>
      <c r="J31" s="6">
        <f t="shared" si="17"/>
        <v>0</v>
      </c>
      <c r="K31" s="2"/>
      <c r="L31" s="7">
        <f t="shared" si="18"/>
        <v>-256.76</v>
      </c>
      <c r="M31" s="2"/>
      <c r="N31" s="6">
        <f t="shared" si="19"/>
        <v>-1</v>
      </c>
      <c r="O31" s="11"/>
      <c r="P31" s="7"/>
      <c r="Q31" s="2"/>
      <c r="R31" s="6">
        <f t="shared" si="20"/>
        <v>0</v>
      </c>
      <c r="S31" s="2"/>
      <c r="T31" s="7">
        <v>770.28</v>
      </c>
      <c r="U31" s="2"/>
      <c r="V31" s="6">
        <f t="shared" si="21"/>
        <v>0</v>
      </c>
      <c r="W31" s="2"/>
      <c r="X31" s="7">
        <f t="shared" si="22"/>
        <v>-770.28</v>
      </c>
      <c r="Y31" s="2"/>
      <c r="Z31" s="6">
        <f t="shared" si="23"/>
        <v>-1</v>
      </c>
    </row>
    <row r="32" spans="1:26" s="24" customFormat="1" hidden="1" outlineLevel="2" x14ac:dyDescent="0.25">
      <c r="A32" s="28"/>
      <c r="B32" s="11" t="str">
        <f>CONCATENATE("          ", "6156", " - ", "EMPLOYEE MEALS")</f>
        <v xml:space="preserve">          6156 - EMPLOYEE MEALS</v>
      </c>
      <c r="C32" s="11"/>
      <c r="D32" s="7"/>
      <c r="E32" s="2"/>
      <c r="F32" s="6">
        <f t="shared" si="16"/>
        <v>0</v>
      </c>
      <c r="G32" s="2"/>
      <c r="H32" s="7">
        <v>174.19</v>
      </c>
      <c r="I32" s="2"/>
      <c r="J32" s="6">
        <f t="shared" si="17"/>
        <v>0</v>
      </c>
      <c r="K32" s="2"/>
      <c r="L32" s="7">
        <f t="shared" si="18"/>
        <v>-174.19</v>
      </c>
      <c r="M32" s="2"/>
      <c r="N32" s="6">
        <f t="shared" si="19"/>
        <v>-1</v>
      </c>
      <c r="O32" s="11"/>
      <c r="P32" s="7"/>
      <c r="Q32" s="2"/>
      <c r="R32" s="6">
        <f t="shared" si="20"/>
        <v>0</v>
      </c>
      <c r="S32" s="2"/>
      <c r="T32" s="7">
        <v>350.11</v>
      </c>
      <c r="U32" s="2"/>
      <c r="V32" s="6">
        <f t="shared" si="21"/>
        <v>0</v>
      </c>
      <c r="W32" s="2"/>
      <c r="X32" s="7">
        <f t="shared" si="22"/>
        <v>-350.11</v>
      </c>
      <c r="Y32" s="2"/>
      <c r="Z32" s="6">
        <f t="shared" si="23"/>
        <v>-1</v>
      </c>
    </row>
    <row r="33" spans="1:26" s="27" customFormat="1" outlineLevel="1" collapsed="1" x14ac:dyDescent="0.25">
      <c r="A33" s="29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4" si="24">IF(D$12=0,0,D33/D$12)</f>
        <v>0</v>
      </c>
      <c r="G33" s="1"/>
      <c r="H33" s="1">
        <f>SUM(OSRRefH22_1x_0)</f>
        <v>5392.7</v>
      </c>
      <c r="I33" s="1"/>
      <c r="J33" s="5">
        <f t="shared" ref="J33:J44" si="25">IF(H$12=0,0,H33/H$12)</f>
        <v>0</v>
      </c>
      <c r="K33" s="1"/>
      <c r="L33" s="1">
        <f t="shared" ref="L33:L44" si="26">+D33-H33</f>
        <v>-5392.7</v>
      </c>
      <c r="M33" s="1"/>
      <c r="N33" s="5">
        <f t="shared" ref="N33:N44" si="27">IF(H33=0,0,L33/H33)</f>
        <v>-1</v>
      </c>
      <c r="O33" s="14"/>
      <c r="P33" s="1">
        <f>SUM(OSRRefP22_1x_0)</f>
        <v>0</v>
      </c>
      <c r="Q33" s="1"/>
      <c r="R33" s="5">
        <f t="shared" ref="R33:R44" si="28">IF(P$12=0,0,P33/P$12)</f>
        <v>0</v>
      </c>
      <c r="S33" s="1"/>
      <c r="T33" s="1">
        <f>SUM(OSRRefT22_1x_0)</f>
        <v>16352.39</v>
      </c>
      <c r="U33" s="1"/>
      <c r="V33" s="5">
        <f t="shared" ref="V33:V44" si="29">IF(T$12=0,0,T33/T$12)</f>
        <v>0</v>
      </c>
      <c r="W33" s="1"/>
      <c r="X33" s="1">
        <f t="shared" ref="X33:X44" si="30">+P33-T33</f>
        <v>-16352.39</v>
      </c>
      <c r="Y33" s="1"/>
      <c r="Z33" s="5">
        <f t="shared" ref="Z33:Z44" si="31">IF(T33=0,0,X33/T33)</f>
        <v>-1</v>
      </c>
    </row>
    <row r="34" spans="1:26" s="24" customFormat="1" hidden="1" outlineLevel="2" x14ac:dyDescent="0.25">
      <c r="A34" s="28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4"/>
        <v>0</v>
      </c>
      <c r="G34" s="2"/>
      <c r="H34" s="7">
        <v>5392.7</v>
      </c>
      <c r="I34" s="2"/>
      <c r="J34" s="6">
        <f t="shared" si="25"/>
        <v>0</v>
      </c>
      <c r="K34" s="2"/>
      <c r="L34" s="7">
        <f t="shared" si="26"/>
        <v>-5392.7</v>
      </c>
      <c r="M34" s="2"/>
      <c r="N34" s="6">
        <f t="shared" si="27"/>
        <v>-1</v>
      </c>
      <c r="O34" s="11"/>
      <c r="P34" s="7"/>
      <c r="Q34" s="2"/>
      <c r="R34" s="6">
        <f t="shared" si="28"/>
        <v>0</v>
      </c>
      <c r="S34" s="2"/>
      <c r="T34" s="7">
        <v>16352.39</v>
      </c>
      <c r="U34" s="2"/>
      <c r="V34" s="6">
        <f t="shared" si="29"/>
        <v>0</v>
      </c>
      <c r="W34" s="2"/>
      <c r="X34" s="7">
        <f t="shared" si="30"/>
        <v>-16352.39</v>
      </c>
      <c r="Y34" s="2"/>
      <c r="Z34" s="6">
        <f t="shared" si="31"/>
        <v>-1</v>
      </c>
    </row>
    <row r="35" spans="1:26" s="27" customFormat="1" outlineLevel="1" collapsed="1" x14ac:dyDescent="0.25">
      <c r="A35" s="29"/>
      <c r="B35" s="14" t="str">
        <f>CONCATENATE("     ","Bank/card Fees                                    ")</f>
        <v xml:space="preserve">     Bank/card Fees                                    </v>
      </c>
      <c r="C35" s="14"/>
      <c r="D35" s="1">
        <f>SUM(OSRRefD22_2x_0)</f>
        <v>0</v>
      </c>
      <c r="E35" s="1"/>
      <c r="F35" s="5">
        <f t="shared" si="24"/>
        <v>0</v>
      </c>
      <c r="G35" s="1"/>
      <c r="H35" s="1">
        <f>SUM(OSRRefH22_2x_0)</f>
        <v>60</v>
      </c>
      <c r="I35" s="1"/>
      <c r="J35" s="5">
        <f t="shared" si="25"/>
        <v>0</v>
      </c>
      <c r="K35" s="1"/>
      <c r="L35" s="1">
        <f t="shared" si="26"/>
        <v>-60</v>
      </c>
      <c r="M35" s="1"/>
      <c r="N35" s="5">
        <f t="shared" si="27"/>
        <v>-1</v>
      </c>
      <c r="O35" s="14"/>
      <c r="P35" s="1">
        <f>SUM(OSRRefP22_2x_0)</f>
        <v>0</v>
      </c>
      <c r="Q35" s="1"/>
      <c r="R35" s="5">
        <f t="shared" si="28"/>
        <v>0</v>
      </c>
      <c r="S35" s="1"/>
      <c r="T35" s="1">
        <f>SUM(OSRRefT22_2x_0)</f>
        <v>180</v>
      </c>
      <c r="U35" s="1"/>
      <c r="V35" s="5">
        <f t="shared" si="29"/>
        <v>0</v>
      </c>
      <c r="W35" s="1"/>
      <c r="X35" s="1">
        <f t="shared" si="30"/>
        <v>-180</v>
      </c>
      <c r="Y35" s="1"/>
      <c r="Z35" s="5">
        <f t="shared" si="31"/>
        <v>-1</v>
      </c>
    </row>
    <row r="36" spans="1:26" s="24" customFormat="1" hidden="1" outlineLevel="2" x14ac:dyDescent="0.25">
      <c r="A36" s="28"/>
      <c r="B36" s="11" t="str">
        <f>CONCATENATE("          ", "6381", " - ", "BANK/CREDIT CARD FEES")</f>
        <v xml:space="preserve">          6381 - BANK/CREDIT CARD FEES</v>
      </c>
      <c r="C36" s="11"/>
      <c r="D36" s="7"/>
      <c r="E36" s="2"/>
      <c r="F36" s="6">
        <f t="shared" si="24"/>
        <v>0</v>
      </c>
      <c r="G36" s="2"/>
      <c r="H36" s="7">
        <v>60</v>
      </c>
      <c r="I36" s="2"/>
      <c r="J36" s="6">
        <f t="shared" si="25"/>
        <v>0</v>
      </c>
      <c r="K36" s="2"/>
      <c r="L36" s="7">
        <f t="shared" si="26"/>
        <v>-60</v>
      </c>
      <c r="M36" s="2"/>
      <c r="N36" s="6">
        <f t="shared" si="27"/>
        <v>-1</v>
      </c>
      <c r="O36" s="11"/>
      <c r="P36" s="7"/>
      <c r="Q36" s="2"/>
      <c r="R36" s="6">
        <f t="shared" si="28"/>
        <v>0</v>
      </c>
      <c r="S36" s="2"/>
      <c r="T36" s="7">
        <v>180</v>
      </c>
      <c r="U36" s="2"/>
      <c r="V36" s="6">
        <f t="shared" si="29"/>
        <v>0</v>
      </c>
      <c r="W36" s="2"/>
      <c r="X36" s="7">
        <f t="shared" si="30"/>
        <v>-180</v>
      </c>
      <c r="Y36" s="2"/>
      <c r="Z36" s="6">
        <f t="shared" si="31"/>
        <v>-1</v>
      </c>
    </row>
    <row r="37" spans="1:26" s="27" customFormat="1" outlineLevel="1" collapsed="1" x14ac:dyDescent="0.25">
      <c r="A37" s="29"/>
      <c r="B37" s="14" t="str">
        <f>CONCATENATE("     ","Freight out/Postage                               ")</f>
        <v xml:space="preserve">     Freight out/Postage                               </v>
      </c>
      <c r="C37" s="14"/>
      <c r="D37" s="1">
        <f>SUM(OSRRefD22_3x_0)</f>
        <v>0</v>
      </c>
      <c r="E37" s="1"/>
      <c r="F37" s="5">
        <f t="shared" si="24"/>
        <v>0</v>
      </c>
      <c r="G37" s="1"/>
      <c r="H37" s="1">
        <f>SUM(OSRRefH22_3x_0)</f>
        <v>6.06</v>
      </c>
      <c r="I37" s="1"/>
      <c r="J37" s="5">
        <f t="shared" si="25"/>
        <v>0</v>
      </c>
      <c r="K37" s="1"/>
      <c r="L37" s="1">
        <f t="shared" si="26"/>
        <v>-6.06</v>
      </c>
      <c r="M37" s="1"/>
      <c r="N37" s="5">
        <f t="shared" si="27"/>
        <v>-1</v>
      </c>
      <c r="O37" s="14"/>
      <c r="P37" s="1">
        <f>SUM(OSRRefP22_3x_0)</f>
        <v>0</v>
      </c>
      <c r="Q37" s="1"/>
      <c r="R37" s="5">
        <f t="shared" si="28"/>
        <v>0</v>
      </c>
      <c r="S37" s="1"/>
      <c r="T37" s="1">
        <f>SUM(OSRRefT22_3x_0)</f>
        <v>10</v>
      </c>
      <c r="U37" s="1"/>
      <c r="V37" s="5">
        <f t="shared" si="29"/>
        <v>0</v>
      </c>
      <c r="W37" s="1"/>
      <c r="X37" s="1">
        <f t="shared" si="30"/>
        <v>-10</v>
      </c>
      <c r="Y37" s="1"/>
      <c r="Z37" s="5">
        <f t="shared" si="31"/>
        <v>-1</v>
      </c>
    </row>
    <row r="38" spans="1:26" s="24" customFormat="1" hidden="1" outlineLevel="2" x14ac:dyDescent="0.25">
      <c r="A38" s="28"/>
      <c r="B38" s="11" t="str">
        <f>CONCATENATE("          ", "6305", " - ", "FREIGHT OUT")</f>
        <v xml:space="preserve">          6305 - FREIGHT OUT</v>
      </c>
      <c r="C38" s="11"/>
      <c r="D38" s="7"/>
      <c r="E38" s="2"/>
      <c r="F38" s="6">
        <f t="shared" si="24"/>
        <v>0</v>
      </c>
      <c r="G38" s="2"/>
      <c r="H38" s="7">
        <v>6.06</v>
      </c>
      <c r="I38" s="2"/>
      <c r="J38" s="6">
        <f t="shared" si="25"/>
        <v>0</v>
      </c>
      <c r="K38" s="2"/>
      <c r="L38" s="7">
        <f t="shared" si="26"/>
        <v>-6.06</v>
      </c>
      <c r="M38" s="2"/>
      <c r="N38" s="6">
        <f t="shared" si="27"/>
        <v>-1</v>
      </c>
      <c r="O38" s="11"/>
      <c r="P38" s="7"/>
      <c r="Q38" s="2"/>
      <c r="R38" s="6">
        <f t="shared" si="28"/>
        <v>0</v>
      </c>
      <c r="S38" s="2"/>
      <c r="T38" s="7">
        <v>10</v>
      </c>
      <c r="U38" s="2"/>
      <c r="V38" s="6">
        <f t="shared" si="29"/>
        <v>0</v>
      </c>
      <c r="W38" s="2"/>
      <c r="X38" s="7">
        <f t="shared" si="30"/>
        <v>-10</v>
      </c>
      <c r="Y38" s="2"/>
      <c r="Z38" s="6">
        <f t="shared" si="31"/>
        <v>-1</v>
      </c>
    </row>
    <row r="39" spans="1:26" s="27" customFormat="1" outlineLevel="1" collapsed="1" x14ac:dyDescent="0.25">
      <c r="A39" s="29"/>
      <c r="B39" s="14" t="str">
        <f>CONCATENATE("     ","Repair and Maintenance                            ")</f>
        <v xml:space="preserve">     Repair and Maintenance                            </v>
      </c>
      <c r="C39" s="14"/>
      <c r="D39" s="1">
        <f>SUM(OSRRefD22_4x_0)</f>
        <v>0</v>
      </c>
      <c r="E39" s="1"/>
      <c r="F39" s="5">
        <f t="shared" si="24"/>
        <v>0</v>
      </c>
      <c r="G39" s="1"/>
      <c r="H39" s="1">
        <f>SUM(OSRRefH22_4x_0)</f>
        <v>24.12</v>
      </c>
      <c r="I39" s="1"/>
      <c r="J39" s="5">
        <f t="shared" si="25"/>
        <v>0</v>
      </c>
      <c r="K39" s="1"/>
      <c r="L39" s="1">
        <f t="shared" si="26"/>
        <v>-24.12</v>
      </c>
      <c r="M39" s="1"/>
      <c r="N39" s="5">
        <f t="shared" si="27"/>
        <v>-1</v>
      </c>
      <c r="O39" s="14"/>
      <c r="P39" s="1">
        <f>SUM(OSRRefP22_4x_0)</f>
        <v>0</v>
      </c>
      <c r="Q39" s="1"/>
      <c r="R39" s="5">
        <f t="shared" si="28"/>
        <v>0</v>
      </c>
      <c r="S39" s="1"/>
      <c r="T39" s="1">
        <f>SUM(OSRRefT22_4x_0)</f>
        <v>24.12</v>
      </c>
      <c r="U39" s="1"/>
      <c r="V39" s="5">
        <f t="shared" si="29"/>
        <v>0</v>
      </c>
      <c r="W39" s="1"/>
      <c r="X39" s="1">
        <f t="shared" si="30"/>
        <v>-24.12</v>
      </c>
      <c r="Y39" s="1"/>
      <c r="Z39" s="5">
        <f t="shared" si="31"/>
        <v>-1</v>
      </c>
    </row>
    <row r="40" spans="1:26" s="24" customFormat="1" hidden="1" outlineLevel="2" x14ac:dyDescent="0.25">
      <c r="A40" s="28"/>
      <c r="B40" s="11" t="str">
        <f>CONCATENATE("          ", "6373", " - ", "MAINTENANCE CONTRACTS")</f>
        <v xml:space="preserve">          6373 - MAINTENANCE CONTRACTS</v>
      </c>
      <c r="C40" s="11"/>
      <c r="D40" s="7">
        <v>0</v>
      </c>
      <c r="E40" s="2"/>
      <c r="F40" s="6">
        <f t="shared" si="24"/>
        <v>0</v>
      </c>
      <c r="G40" s="2"/>
      <c r="H40" s="7">
        <v>24.12</v>
      </c>
      <c r="I40" s="2"/>
      <c r="J40" s="6">
        <f t="shared" si="25"/>
        <v>0</v>
      </c>
      <c r="K40" s="2"/>
      <c r="L40" s="7">
        <f t="shared" si="26"/>
        <v>-24.12</v>
      </c>
      <c r="M40" s="2"/>
      <c r="N40" s="6">
        <f t="shared" si="27"/>
        <v>-1</v>
      </c>
      <c r="O40" s="11"/>
      <c r="P40" s="7">
        <v>0</v>
      </c>
      <c r="Q40" s="2"/>
      <c r="R40" s="6">
        <f t="shared" si="28"/>
        <v>0</v>
      </c>
      <c r="S40" s="2"/>
      <c r="T40" s="7">
        <v>24.12</v>
      </c>
      <c r="U40" s="2"/>
      <c r="V40" s="6">
        <f t="shared" si="29"/>
        <v>0</v>
      </c>
      <c r="W40" s="2"/>
      <c r="X40" s="7">
        <f t="shared" si="30"/>
        <v>-24.12</v>
      </c>
      <c r="Y40" s="2"/>
      <c r="Z40" s="6">
        <f t="shared" si="31"/>
        <v>-1</v>
      </c>
    </row>
    <row r="41" spans="1:26" s="27" customFormat="1" outlineLevel="1" collapsed="1" x14ac:dyDescent="0.25">
      <c r="A41" s="29"/>
      <c r="B41" s="14" t="str">
        <f>CONCATENATE("     ","Supplies                                          ")</f>
        <v xml:space="preserve">     Supplies                                          </v>
      </c>
      <c r="C41" s="14"/>
      <c r="D41" s="1">
        <f>SUM(OSRRefD22_5x_0)</f>
        <v>0</v>
      </c>
      <c r="E41" s="1"/>
      <c r="F41" s="5">
        <f t="shared" si="24"/>
        <v>0</v>
      </c>
      <c r="G41" s="1"/>
      <c r="H41" s="1">
        <f>SUM(OSRRefH22_5x_0)</f>
        <v>0</v>
      </c>
      <c r="I41" s="1"/>
      <c r="J41" s="5">
        <f t="shared" si="25"/>
        <v>0</v>
      </c>
      <c r="K41" s="1"/>
      <c r="L41" s="1">
        <f t="shared" si="26"/>
        <v>0</v>
      </c>
      <c r="M41" s="1"/>
      <c r="N41" s="5">
        <f t="shared" si="27"/>
        <v>0</v>
      </c>
      <c r="O41" s="14"/>
      <c r="P41" s="1">
        <f>SUM(OSRRefP22_5x_0)</f>
        <v>0</v>
      </c>
      <c r="Q41" s="1"/>
      <c r="R41" s="5">
        <f t="shared" si="28"/>
        <v>0</v>
      </c>
      <c r="S41" s="1"/>
      <c r="T41" s="1">
        <f>SUM(OSRRefT22_5x_0)</f>
        <v>0</v>
      </c>
      <c r="U41" s="1"/>
      <c r="V41" s="5">
        <f t="shared" si="29"/>
        <v>0</v>
      </c>
      <c r="W41" s="1"/>
      <c r="X41" s="1">
        <f t="shared" si="30"/>
        <v>0</v>
      </c>
      <c r="Y41" s="1"/>
      <c r="Z41" s="5">
        <f t="shared" si="31"/>
        <v>0</v>
      </c>
    </row>
    <row r="42" spans="1:26" s="24" customFormat="1" hidden="1" outlineLevel="2" x14ac:dyDescent="0.25">
      <c r="A42" s="28"/>
      <c r="B42" s="11" t="str">
        <f>CONCATENATE("          ", "6247", " - ", "STORE SUPPLIES")</f>
        <v xml:space="preserve">          6247 - STORE SUPPLIES</v>
      </c>
      <c r="C42" s="11"/>
      <c r="D42" s="7"/>
      <c r="E42" s="2"/>
      <c r="F42" s="6">
        <f t="shared" si="24"/>
        <v>0</v>
      </c>
      <c r="G42" s="2"/>
      <c r="H42" s="7"/>
      <c r="I42" s="2"/>
      <c r="J42" s="6">
        <f t="shared" si="25"/>
        <v>0</v>
      </c>
      <c r="K42" s="2"/>
      <c r="L42" s="7">
        <f t="shared" si="26"/>
        <v>0</v>
      </c>
      <c r="M42" s="2"/>
      <c r="N42" s="6">
        <f t="shared" si="27"/>
        <v>0</v>
      </c>
      <c r="O42" s="11"/>
      <c r="P42" s="7">
        <v>0</v>
      </c>
      <c r="Q42" s="2"/>
      <c r="R42" s="6">
        <f t="shared" si="28"/>
        <v>0</v>
      </c>
      <c r="S42" s="2"/>
      <c r="T42" s="7"/>
      <c r="U42" s="2"/>
      <c r="V42" s="6">
        <f t="shared" si="29"/>
        <v>0</v>
      </c>
      <c r="W42" s="2"/>
      <c r="X42" s="7">
        <f t="shared" si="30"/>
        <v>0</v>
      </c>
      <c r="Y42" s="2"/>
      <c r="Z42" s="6">
        <f t="shared" si="31"/>
        <v>0</v>
      </c>
    </row>
    <row r="43" spans="1:26" s="27" customFormat="1" outlineLevel="1" collapsed="1" x14ac:dyDescent="0.25">
      <c r="A43" s="29"/>
      <c r="B43" s="14" t="str">
        <f>CONCATENATE("     ","Telephone/Data Lines                              ")</f>
        <v xml:space="preserve">     Telephone/Data Lines                              </v>
      </c>
      <c r="C43" s="14"/>
      <c r="D43" s="1">
        <f>SUM(OSRRefD22_6x_0)</f>
        <v>0</v>
      </c>
      <c r="E43" s="1"/>
      <c r="F43" s="5">
        <f t="shared" si="24"/>
        <v>0</v>
      </c>
      <c r="G43" s="1"/>
      <c r="H43" s="1">
        <f>SUM(OSRRefH22_6x_0)</f>
        <v>170</v>
      </c>
      <c r="I43" s="1"/>
      <c r="J43" s="5">
        <f t="shared" si="25"/>
        <v>0</v>
      </c>
      <c r="K43" s="1"/>
      <c r="L43" s="1">
        <f t="shared" si="26"/>
        <v>-170</v>
      </c>
      <c r="M43" s="1"/>
      <c r="N43" s="5">
        <f t="shared" si="27"/>
        <v>-1</v>
      </c>
      <c r="O43" s="14"/>
      <c r="P43" s="1">
        <f>SUM(OSRRefP22_6x_0)</f>
        <v>0</v>
      </c>
      <c r="Q43" s="1"/>
      <c r="R43" s="5">
        <f t="shared" si="28"/>
        <v>0</v>
      </c>
      <c r="S43" s="1"/>
      <c r="T43" s="1">
        <f>SUM(OSRRefT22_6x_0)</f>
        <v>414.35</v>
      </c>
      <c r="U43" s="1"/>
      <c r="V43" s="5">
        <f t="shared" si="29"/>
        <v>0</v>
      </c>
      <c r="W43" s="1"/>
      <c r="X43" s="1">
        <f t="shared" si="30"/>
        <v>-414.35</v>
      </c>
      <c r="Y43" s="1"/>
      <c r="Z43" s="5">
        <f t="shared" si="31"/>
        <v>-1</v>
      </c>
    </row>
    <row r="44" spans="1:26" s="24" customFormat="1" hidden="1" outlineLevel="2" x14ac:dyDescent="0.25">
      <c r="A44" s="28"/>
      <c r="B44" s="11" t="str">
        <f>CONCATENATE("          ", "6309", " - ", "TELEPHONE")</f>
        <v xml:space="preserve">          6309 - TELEPHONE</v>
      </c>
      <c r="C44" s="11"/>
      <c r="D44" s="7">
        <v>0</v>
      </c>
      <c r="E44" s="2"/>
      <c r="F44" s="6">
        <f t="shared" si="24"/>
        <v>0</v>
      </c>
      <c r="G44" s="2"/>
      <c r="H44" s="7">
        <v>170</v>
      </c>
      <c r="I44" s="2"/>
      <c r="J44" s="6">
        <f t="shared" si="25"/>
        <v>0</v>
      </c>
      <c r="K44" s="2"/>
      <c r="L44" s="7">
        <f t="shared" si="26"/>
        <v>-170</v>
      </c>
      <c r="M44" s="2"/>
      <c r="N44" s="6">
        <f t="shared" si="27"/>
        <v>-1</v>
      </c>
      <c r="O44" s="11"/>
      <c r="P44" s="7">
        <v>0</v>
      </c>
      <c r="Q44" s="2"/>
      <c r="R44" s="6">
        <f t="shared" si="28"/>
        <v>0</v>
      </c>
      <c r="S44" s="2"/>
      <c r="T44" s="7">
        <v>414.35</v>
      </c>
      <c r="U44" s="2"/>
      <c r="V44" s="6">
        <f t="shared" si="29"/>
        <v>0</v>
      </c>
      <c r="W44" s="2"/>
      <c r="X44" s="7">
        <f t="shared" si="30"/>
        <v>-414.35</v>
      </c>
      <c r="Y44" s="2"/>
      <c r="Z44" s="6">
        <f t="shared" si="31"/>
        <v>-1</v>
      </c>
    </row>
    <row r="45" spans="1:26" s="54" customFormat="1" x14ac:dyDescent="0.25">
      <c r="A45" s="37"/>
      <c r="B45" s="37"/>
      <c r="C45" s="37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25">
      <c r="A46" s="10"/>
      <c r="B46" s="26" t="s">
        <v>292</v>
      </c>
      <c r="C46" s="10"/>
      <c r="D46" s="4">
        <f>SUM(0)</f>
        <v>0</v>
      </c>
      <c r="E46" s="4"/>
      <c r="F46" s="12">
        <f>IF(D$12=0,0,D46/D$12)</f>
        <v>0</v>
      </c>
      <c r="G46" s="4"/>
      <c r="H46" s="4">
        <f>SUM(0)</f>
        <v>0</v>
      </c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>
        <f>SUM(0)</f>
        <v>0</v>
      </c>
      <c r="Q46" s="4"/>
      <c r="R46" s="12">
        <f>IF(P$12=0,0,P46/P$12)</f>
        <v>0</v>
      </c>
      <c r="S46" s="4"/>
      <c r="T46" s="4">
        <f>SUM(0)</f>
        <v>0</v>
      </c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5" t="s">
        <v>276</v>
      </c>
      <c r="C48" s="25"/>
      <c r="D48" s="21">
        <f>+D21-D23+D46</f>
        <v>0</v>
      </c>
      <c r="E48" s="13"/>
      <c r="F48" s="22">
        <f>IF(D$12=0,0,D48/D$12)</f>
        <v>0</v>
      </c>
      <c r="G48" s="13"/>
      <c r="H48" s="21">
        <f>+H21-H23+H46</f>
        <v>-9582.5499999999993</v>
      </c>
      <c r="I48" s="13"/>
      <c r="J48" s="22">
        <f>IF(H$12=0,0,H48/H$12)</f>
        <v>0</v>
      </c>
      <c r="K48" s="16"/>
      <c r="L48" s="21">
        <f>+D48-H48</f>
        <v>9582.5499999999993</v>
      </c>
      <c r="M48" s="16"/>
      <c r="N48" s="22">
        <f>IF(H48=0,0,L48/H48)</f>
        <v>-1</v>
      </c>
      <c r="O48" s="26"/>
      <c r="P48" s="21">
        <f>+P21-P23+P46</f>
        <v>0</v>
      </c>
      <c r="Q48" s="13"/>
      <c r="R48" s="22">
        <f>IF(P$12=0,0,P48/P$12)</f>
        <v>0</v>
      </c>
      <c r="S48" s="13"/>
      <c r="T48" s="21">
        <f>+T21-T23+T46</f>
        <v>-28324.189999999995</v>
      </c>
      <c r="U48" s="13"/>
      <c r="V48" s="22">
        <f>IF(T$12=0,0,T48/T$12)</f>
        <v>0</v>
      </c>
      <c r="W48" s="16"/>
      <c r="X48" s="21">
        <f>+P48-T48</f>
        <v>28324.189999999995</v>
      </c>
      <c r="Y48" s="16"/>
      <c r="Z48" s="22">
        <f>IF(T48=0,0,X48/T48)</f>
        <v>-1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51"/>
      <c r="B50" s="10" t="s">
        <v>127</v>
      </c>
      <c r="C50" s="10"/>
      <c r="D50" s="4"/>
      <c r="E50" s="4"/>
      <c r="F50" s="12">
        <f>IF(D$12=0,0,D50/D$12)</f>
        <v>0</v>
      </c>
      <c r="G50" s="4"/>
      <c r="H50" s="4"/>
      <c r="I50" s="4"/>
      <c r="J50" s="12">
        <f>IF(H$12=0,0,H50/H$12)</f>
        <v>0</v>
      </c>
      <c r="K50" s="4"/>
      <c r="L50" s="4">
        <f>+D50-H50</f>
        <v>0</v>
      </c>
      <c r="M50" s="4"/>
      <c r="N50" s="12">
        <f>IF(H50=0,0,L50/H50)</f>
        <v>0</v>
      </c>
      <c r="O50" s="10"/>
      <c r="P50" s="4"/>
      <c r="Q50" s="4"/>
      <c r="R50" s="12">
        <f>IF(P$12=0,0,P50/P$12)</f>
        <v>0</v>
      </c>
      <c r="S50" s="4"/>
      <c r="T50" s="4"/>
      <c r="U50" s="4"/>
      <c r="V50" s="12">
        <f>IF(T$12=0,0,T50/T$12)</f>
        <v>0</v>
      </c>
      <c r="W50" s="4"/>
      <c r="X50" s="4">
        <f>+P50-T50</f>
        <v>0</v>
      </c>
      <c r="Y50" s="4"/>
      <c r="Z50" s="12">
        <f>IF(T50=0,0,X50/T50)</f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.75" thickBot="1" x14ac:dyDescent="0.3">
      <c r="A52" s="10"/>
      <c r="B52" s="25" t="s">
        <v>125</v>
      </c>
      <c r="C52" s="25"/>
      <c r="D52" s="33">
        <f>+D48-D50</f>
        <v>0</v>
      </c>
      <c r="E52" s="13"/>
      <c r="F52" s="35">
        <f>IF(D$12=0,0,D52/D$12)</f>
        <v>0</v>
      </c>
      <c r="G52" s="13"/>
      <c r="H52" s="33">
        <f>+H48-H50</f>
        <v>-9582.5499999999993</v>
      </c>
      <c r="I52" s="13"/>
      <c r="J52" s="35">
        <f>IF(H$12=0,0,H52/H$12)</f>
        <v>0</v>
      </c>
      <c r="K52" s="16"/>
      <c r="L52" s="33">
        <f>D52-H52</f>
        <v>9582.5499999999993</v>
      </c>
      <c r="M52" s="16"/>
      <c r="N52" s="35">
        <f>IF(H52=0,0,L52/H52)</f>
        <v>-1</v>
      </c>
      <c r="O52" s="26"/>
      <c r="P52" s="33">
        <f>+P48-P50</f>
        <v>0</v>
      </c>
      <c r="Q52" s="13"/>
      <c r="R52" s="35">
        <f>IF(P$12=0,0,P52/P$12)</f>
        <v>0</v>
      </c>
      <c r="S52" s="13"/>
      <c r="T52" s="33">
        <f>+T48-T50</f>
        <v>-28324.189999999995</v>
      </c>
      <c r="U52" s="13"/>
      <c r="V52" s="35">
        <f>IF(T$12=0,0,T52/T$12)</f>
        <v>0</v>
      </c>
      <c r="W52" s="16"/>
      <c r="X52" s="33">
        <f>P52-T52</f>
        <v>28324.189999999995</v>
      </c>
      <c r="Y52" s="16"/>
      <c r="Z52" s="35">
        <f>IF(T52=0,0,X52/T52)</f>
        <v>-1</v>
      </c>
    </row>
    <row r="53" spans="1:26" ht="15.75" thickTop="1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5" t="s">
        <v>293</v>
      </c>
      <c r="C55" s="25"/>
      <c r="D55" s="31">
        <f>SUM(D52:D54)</f>
        <v>0</v>
      </c>
      <c r="E55" s="13"/>
      <c r="F55" s="32">
        <f>IF(D$12=0,0,D55/D$12)</f>
        <v>0</v>
      </c>
      <c r="G55" s="13"/>
      <c r="H55" s="31">
        <f>SUM(H52:H54)</f>
        <v>-9582.5499999999993</v>
      </c>
      <c r="I55" s="13"/>
      <c r="J55" s="32">
        <f>IF(H$12=0,0,H55/H$12)</f>
        <v>0</v>
      </c>
      <c r="K55" s="16"/>
      <c r="L55" s="31">
        <f>+D55-H55</f>
        <v>9582.5499999999993</v>
      </c>
      <c r="M55" s="16"/>
      <c r="N55" s="32">
        <f>IF(H55=0,0,L55/H55)</f>
        <v>-1</v>
      </c>
      <c r="O55" s="26"/>
      <c r="P55" s="31">
        <f>SUM(P52:P54)</f>
        <v>0</v>
      </c>
      <c r="Q55" s="13"/>
      <c r="R55" s="32">
        <f>IF(P$12=0,0,P55/P$12)</f>
        <v>0</v>
      </c>
      <c r="S55" s="13"/>
      <c r="T55" s="31">
        <f>SUM(T52:T54)</f>
        <v>-28324.189999999995</v>
      </c>
      <c r="U55" s="13"/>
      <c r="V55" s="32">
        <f>IF(T$12=0,0,T55/T$12)</f>
        <v>0</v>
      </c>
      <c r="W55" s="16"/>
      <c r="X55" s="31">
        <f>+P55-T55</f>
        <v>28324.189999999995</v>
      </c>
      <c r="Y55" s="16"/>
      <c r="Z55" s="32">
        <f>IF(T55=0,0,X55/T55)</f>
        <v>-1</v>
      </c>
    </row>
    <row r="56" spans="1:26" ht="15.75" thickTop="1" x14ac:dyDescent="0.25">
      <c r="A56" s="9"/>
      <c r="C56" s="9"/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  <row r="57" spans="1:26" x14ac:dyDescent="0.25">
      <c r="A57" s="9"/>
      <c r="B57" s="58">
        <v>44481.985668518515</v>
      </c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A58" s="9"/>
      <c r="B58" s="53" t="s">
        <v>56</v>
      </c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52"/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","321", " - ", "Corner Market")</f>
        <v>Department 321 - Corner Market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1762.4699999999998</v>
      </c>
      <c r="I12" s="4"/>
      <c r="J12" s="12"/>
      <c r="K12" s="4"/>
      <c r="L12" s="4">
        <f t="shared" ref="L12:L14" si="0">+D12-H12</f>
        <v>-1762.4699999999998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2476.4700000000003</v>
      </c>
      <c r="U12" s="4"/>
      <c r="V12" s="12"/>
      <c r="W12" s="4"/>
      <c r="X12" s="4">
        <f t="shared" ref="X12:X14" si="2">+P12-T12</f>
        <v>-2476.4700000000003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--356.39</f>
        <v>356.39</v>
      </c>
      <c r="I13" s="2"/>
      <c r="J13" s="19"/>
      <c r="K13" s="2"/>
      <c r="L13" s="2">
        <f t="shared" si="0"/>
        <v>-356.39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--444.59</f>
        <v>444.59</v>
      </c>
      <c r="U13" s="2"/>
      <c r="V13" s="19"/>
      <c r="W13" s="2"/>
      <c r="X13" s="2">
        <f t="shared" si="2"/>
        <v>-444.59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--1406.08</f>
        <v>1406.08</v>
      </c>
      <c r="I14" s="2"/>
      <c r="J14" s="19"/>
      <c r="K14" s="2"/>
      <c r="L14" s="2">
        <f t="shared" si="0"/>
        <v>-1406.08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--2031.88</f>
        <v>2031.88</v>
      </c>
      <c r="U14" s="2"/>
      <c r="V14" s="19"/>
      <c r="W14" s="2"/>
      <c r="X14" s="2">
        <f t="shared" si="2"/>
        <v>-2031.88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256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53.15</v>
      </c>
      <c r="I16" s="4"/>
      <c r="J16" s="12">
        <f t="shared" ref="J16:J17" si="7">IF(H$12=0,0,H16/H$12)</f>
        <v>3.0156541671631294E-2</v>
      </c>
      <c r="K16" s="4"/>
      <c r="L16" s="4">
        <f t="shared" ref="L16:L17" si="8">+D16-H16</f>
        <v>-53.15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239.48</v>
      </c>
      <c r="U16" s="4"/>
      <c r="V16" s="12">
        <f t="shared" ref="V16:V17" si="11">IF(T$12=0,0,T16/T$12)</f>
        <v>9.6702160736855267E-2</v>
      </c>
      <c r="W16" s="4"/>
      <c r="X16" s="4">
        <f t="shared" ref="X16:X17" si="12">+P16-T16</f>
        <v>-239.48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53.15</v>
      </c>
      <c r="I17" s="2"/>
      <c r="J17" s="19">
        <f t="shared" si="7"/>
        <v>3.0156541671631294E-2</v>
      </c>
      <c r="K17" s="2"/>
      <c r="L17" s="2">
        <f t="shared" si="8"/>
        <v>-53.15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239.48</v>
      </c>
      <c r="U17" s="2"/>
      <c r="V17" s="19">
        <f t="shared" si="11"/>
        <v>9.6702160736855267E-2</v>
      </c>
      <c r="W17" s="2"/>
      <c r="X17" s="2">
        <f t="shared" si="12"/>
        <v>-239.48</v>
      </c>
      <c r="Y17" s="2"/>
      <c r="Z17" s="19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107</v>
      </c>
      <c r="C19" s="25"/>
      <c r="D19" s="21">
        <f>D12-D16</f>
        <v>0</v>
      </c>
      <c r="E19" s="13"/>
      <c r="F19" s="22">
        <f>IF(D$12=0,0,D19/D$12)</f>
        <v>0</v>
      </c>
      <c r="G19" s="13"/>
      <c r="H19" s="21">
        <f>H12-H16</f>
        <v>1709.3199999999997</v>
      </c>
      <c r="I19" s="13"/>
      <c r="J19" s="22">
        <f>IF(H$12=0,0,H19/H$12)</f>
        <v>0.9698434583283686</v>
      </c>
      <c r="K19" s="16"/>
      <c r="L19" s="21">
        <f>+D19-H19</f>
        <v>-1709.3199999999997</v>
      </c>
      <c r="M19" s="16"/>
      <c r="N19" s="22">
        <f>IF(H19=0,0,L19/H19)</f>
        <v>-1</v>
      </c>
      <c r="O19" s="26"/>
      <c r="P19" s="21">
        <f>P12-P16</f>
        <v>0</v>
      </c>
      <c r="Q19" s="13"/>
      <c r="R19" s="22">
        <f>IF(P$12=0,0,P19/P$12)</f>
        <v>0</v>
      </c>
      <c r="S19" s="13"/>
      <c r="T19" s="21">
        <f>T12-T16</f>
        <v>2236.9900000000002</v>
      </c>
      <c r="U19" s="13"/>
      <c r="V19" s="22">
        <f>IF(T$12=0,0,T19/T$12)</f>
        <v>0.90329783926314478</v>
      </c>
      <c r="W19" s="16"/>
      <c r="X19" s="21">
        <f>+P19-T19</f>
        <v>-2236.9900000000002</v>
      </c>
      <c r="Y19" s="16"/>
      <c r="Z19" s="22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294</v>
      </c>
      <c r="C21" s="10"/>
      <c r="D21" s="20">
        <f>SUM(OSRRefD22x_0)</f>
        <v>1274.7300000000002</v>
      </c>
      <c r="E21" s="20"/>
      <c r="F21" s="30">
        <f t="shared" ref="F21:F30" si="14">IF(D$12=0,0,D21/D$12)</f>
        <v>0</v>
      </c>
      <c r="G21" s="20"/>
      <c r="H21" s="20">
        <f>SUM(OSRRefH22x_0)</f>
        <v>9141.619999999999</v>
      </c>
      <c r="I21" s="20"/>
      <c r="J21" s="30">
        <f t="shared" ref="J21:J30" si="15">IF(H$12=0,0,H21/H$12)</f>
        <v>5.1868230381226343</v>
      </c>
      <c r="K21" s="4"/>
      <c r="L21" s="20">
        <f t="shared" ref="L21:L30" si="16">+D21-H21</f>
        <v>-7866.8899999999985</v>
      </c>
      <c r="M21" s="4"/>
      <c r="N21" s="30">
        <f t="shared" ref="N21:N30" si="17">IF(H21=0,0,L21/H21)</f>
        <v>-0.86055753794185263</v>
      </c>
      <c r="O21" s="10"/>
      <c r="P21" s="20">
        <f>SUM(OSRRefP22x_0)</f>
        <v>4772.8499999999995</v>
      </c>
      <c r="Q21" s="20"/>
      <c r="R21" s="30">
        <f t="shared" ref="R21:R30" si="18">IF(P$12=0,0,P21/P$12)</f>
        <v>0</v>
      </c>
      <c r="S21" s="20"/>
      <c r="T21" s="20">
        <f>SUM(OSRRefT22x_0)</f>
        <v>22816.83</v>
      </c>
      <c r="U21" s="20"/>
      <c r="V21" s="30">
        <f t="shared" ref="V21:V30" si="19">IF(T$12=0,0,T21/T$12)</f>
        <v>9.2134489818168603</v>
      </c>
      <c r="W21" s="4"/>
      <c r="X21" s="20">
        <f t="shared" ref="X21:X30" si="20">+P21-T21</f>
        <v>-18043.980000000003</v>
      </c>
      <c r="Y21" s="4"/>
      <c r="Z21" s="30">
        <f t="shared" ref="Z21:Z30" si="21">IF(T21=0,0,X21/T21)</f>
        <v>-0.79081888237761344</v>
      </c>
    </row>
    <row r="22" spans="1:26" s="27" customFormat="1" outlineLevel="1" collapsed="1" x14ac:dyDescent="0.25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2095.62</v>
      </c>
      <c r="I22" s="1"/>
      <c r="J22" s="5">
        <f t="shared" si="15"/>
        <v>1.1890244940339412</v>
      </c>
      <c r="K22" s="1"/>
      <c r="L22" s="1">
        <f t="shared" si="16"/>
        <v>-2095.62</v>
      </c>
      <c r="M22" s="1"/>
      <c r="N22" s="5">
        <f t="shared" si="17"/>
        <v>-1</v>
      </c>
      <c r="O22" s="14"/>
      <c r="P22" s="1">
        <f>SUM(OSRRefP22_0x_0)</f>
        <v>84.99</v>
      </c>
      <c r="Q22" s="1"/>
      <c r="R22" s="5">
        <f t="shared" si="18"/>
        <v>0</v>
      </c>
      <c r="S22" s="1"/>
      <c r="T22" s="1">
        <f>SUM(OSRRefT22_0x_0)</f>
        <v>4520.96</v>
      </c>
      <c r="U22" s="1"/>
      <c r="V22" s="5">
        <f t="shared" si="19"/>
        <v>1.8255662293506481</v>
      </c>
      <c r="W22" s="1"/>
      <c r="X22" s="1">
        <f t="shared" si="20"/>
        <v>-4435.97</v>
      </c>
      <c r="Y22" s="1"/>
      <c r="Z22" s="5">
        <f t="shared" si="21"/>
        <v>-0.98120089538505106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454.71</v>
      </c>
      <c r="I23" s="2"/>
      <c r="J23" s="6">
        <f t="shared" si="15"/>
        <v>0.25799588078094948</v>
      </c>
      <c r="K23" s="2"/>
      <c r="L23" s="7">
        <f t="shared" si="16"/>
        <v>-454.71</v>
      </c>
      <c r="M23" s="2"/>
      <c r="N23" s="6">
        <f t="shared" si="17"/>
        <v>-1</v>
      </c>
      <c r="O23" s="11"/>
      <c r="P23" s="7">
        <v>6.91</v>
      </c>
      <c r="Q23" s="2"/>
      <c r="R23" s="6">
        <f t="shared" si="18"/>
        <v>0</v>
      </c>
      <c r="S23" s="2"/>
      <c r="T23" s="7">
        <v>932.07</v>
      </c>
      <c r="U23" s="2"/>
      <c r="V23" s="6">
        <f t="shared" si="19"/>
        <v>0.37637039818774304</v>
      </c>
      <c r="W23" s="2"/>
      <c r="X23" s="7">
        <f t="shared" si="20"/>
        <v>-925.16000000000008</v>
      </c>
      <c r="Y23" s="2"/>
      <c r="Z23" s="6">
        <f t="shared" si="21"/>
        <v>-0.99258639372579316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76.959999999999994</v>
      </c>
      <c r="I24" s="2"/>
      <c r="J24" s="6">
        <f t="shared" si="15"/>
        <v>4.3665991477869127E-2</v>
      </c>
      <c r="K24" s="2"/>
      <c r="L24" s="7">
        <f t="shared" si="16"/>
        <v>-76.959999999999994</v>
      </c>
      <c r="M24" s="2"/>
      <c r="N24" s="6">
        <f t="shared" si="17"/>
        <v>-1</v>
      </c>
      <c r="O24" s="11"/>
      <c r="P24" s="7"/>
      <c r="Q24" s="2"/>
      <c r="R24" s="6">
        <f t="shared" si="18"/>
        <v>0</v>
      </c>
      <c r="S24" s="2"/>
      <c r="T24" s="7">
        <v>230.88</v>
      </c>
      <c r="U24" s="2"/>
      <c r="V24" s="6">
        <f t="shared" si="19"/>
        <v>9.3229475826478808E-2</v>
      </c>
      <c r="W24" s="2"/>
      <c r="X24" s="7">
        <f t="shared" si="20"/>
        <v>-230.88</v>
      </c>
      <c r="Y24" s="2"/>
      <c r="Z24" s="6">
        <f t="shared" si="21"/>
        <v>-1</v>
      </c>
    </row>
    <row r="25" spans="1:26" s="24" customFormat="1" hidden="1" outlineLevel="2" x14ac:dyDescent="0.25">
      <c r="A25" s="28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683.68</v>
      </c>
      <c r="I25" s="2"/>
      <c r="J25" s="6">
        <f t="shared" si="15"/>
        <v>0.38791014882522823</v>
      </c>
      <c r="K25" s="2"/>
      <c r="L25" s="7">
        <f t="shared" si="16"/>
        <v>-683.68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1367.36</v>
      </c>
      <c r="U25" s="2"/>
      <c r="V25" s="6">
        <f t="shared" si="19"/>
        <v>0.55214074872701857</v>
      </c>
      <c r="W25" s="2"/>
      <c r="X25" s="7">
        <f t="shared" si="20"/>
        <v>-1367.36</v>
      </c>
      <c r="Y25" s="2"/>
      <c r="Z25" s="6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10.82</v>
      </c>
      <c r="I26" s="2"/>
      <c r="J26" s="6">
        <f t="shared" si="15"/>
        <v>6.1391115877149688E-3</v>
      </c>
      <c r="K26" s="2"/>
      <c r="L26" s="7">
        <f t="shared" si="16"/>
        <v>-10.82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32.46</v>
      </c>
      <c r="U26" s="2"/>
      <c r="V26" s="6">
        <f t="shared" si="19"/>
        <v>1.3107366533816278E-2</v>
      </c>
      <c r="W26" s="2"/>
      <c r="X26" s="7">
        <f t="shared" si="20"/>
        <v>-32.46</v>
      </c>
      <c r="Y26" s="2"/>
      <c r="Z26" s="6">
        <f t="shared" si="21"/>
        <v>-1</v>
      </c>
    </row>
    <row r="27" spans="1:26" s="24" customFormat="1" hidden="1" outlineLevel="2" x14ac:dyDescent="0.25">
      <c r="A27" s="28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321.57</v>
      </c>
      <c r="I27" s="2"/>
      <c r="J27" s="6">
        <f t="shared" si="15"/>
        <v>0.1824541694326712</v>
      </c>
      <c r="K27" s="2"/>
      <c r="L27" s="7">
        <f t="shared" si="16"/>
        <v>-321.57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803.92</v>
      </c>
      <c r="U27" s="2"/>
      <c r="V27" s="6">
        <f t="shared" si="19"/>
        <v>0.32462335501742395</v>
      </c>
      <c r="W27" s="2"/>
      <c r="X27" s="7">
        <f t="shared" si="20"/>
        <v>-803.92</v>
      </c>
      <c r="Y27" s="2"/>
      <c r="Z27" s="6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4"/>
        <v>0</v>
      </c>
      <c r="G28" s="2"/>
      <c r="H28" s="7">
        <v>239.72</v>
      </c>
      <c r="I28" s="2"/>
      <c r="J28" s="6">
        <f t="shared" si="15"/>
        <v>0.13601366264390316</v>
      </c>
      <c r="K28" s="2"/>
      <c r="L28" s="7">
        <f t="shared" si="16"/>
        <v>-239.72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479.44</v>
      </c>
      <c r="U28" s="2"/>
      <c r="V28" s="6">
        <f t="shared" si="19"/>
        <v>0.19359814574777806</v>
      </c>
      <c r="W28" s="2"/>
      <c r="X28" s="7">
        <f t="shared" si="20"/>
        <v>-479.44</v>
      </c>
      <c r="Y28" s="2"/>
      <c r="Z28" s="6">
        <f t="shared" si="21"/>
        <v>-1</v>
      </c>
    </row>
    <row r="29" spans="1:26" s="24" customFormat="1" hidden="1" outlineLevel="2" x14ac:dyDescent="0.25">
      <c r="A29" s="28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4"/>
        <v>0</v>
      </c>
      <c r="G29" s="2"/>
      <c r="H29" s="7">
        <v>191.88</v>
      </c>
      <c r="I29" s="2"/>
      <c r="J29" s="6">
        <f t="shared" si="15"/>
        <v>0.10886993821171426</v>
      </c>
      <c r="K29" s="2"/>
      <c r="L29" s="7">
        <f t="shared" si="16"/>
        <v>-191.88</v>
      </c>
      <c r="M29" s="2"/>
      <c r="N29" s="6">
        <f t="shared" si="17"/>
        <v>-1</v>
      </c>
      <c r="O29" s="11"/>
      <c r="P29" s="7"/>
      <c r="Q29" s="2"/>
      <c r="R29" s="6">
        <f t="shared" si="18"/>
        <v>0</v>
      </c>
      <c r="S29" s="2"/>
      <c r="T29" s="7">
        <v>383.76</v>
      </c>
      <c r="U29" s="2"/>
      <c r="V29" s="6">
        <f t="shared" si="19"/>
        <v>0.15496250711698503</v>
      </c>
      <c r="W29" s="2"/>
      <c r="X29" s="7">
        <f t="shared" si="20"/>
        <v>-383.76</v>
      </c>
      <c r="Y29" s="2"/>
      <c r="Z29" s="6">
        <f t="shared" si="21"/>
        <v>-1</v>
      </c>
    </row>
    <row r="30" spans="1:26" s="24" customFormat="1" hidden="1" outlineLevel="2" x14ac:dyDescent="0.25">
      <c r="A30" s="28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14"/>
        <v>0</v>
      </c>
      <c r="G30" s="2"/>
      <c r="H30" s="7">
        <v>116.28</v>
      </c>
      <c r="I30" s="2"/>
      <c r="J30" s="6">
        <f t="shared" si="15"/>
        <v>6.597559107389063E-2</v>
      </c>
      <c r="K30" s="2"/>
      <c r="L30" s="7">
        <f t="shared" si="16"/>
        <v>-116.28</v>
      </c>
      <c r="M30" s="2"/>
      <c r="N30" s="6">
        <f t="shared" si="17"/>
        <v>-1</v>
      </c>
      <c r="O30" s="11"/>
      <c r="P30" s="7">
        <v>78.08</v>
      </c>
      <c r="Q30" s="2"/>
      <c r="R30" s="6">
        <f t="shared" si="18"/>
        <v>0</v>
      </c>
      <c r="S30" s="2"/>
      <c r="T30" s="7">
        <v>291.07</v>
      </c>
      <c r="U30" s="2"/>
      <c r="V30" s="6">
        <f t="shared" si="19"/>
        <v>0.11753423219340431</v>
      </c>
      <c r="W30" s="2"/>
      <c r="X30" s="7">
        <f t="shared" si="20"/>
        <v>-212.99</v>
      </c>
      <c r="Y30" s="2"/>
      <c r="Z30" s="6">
        <f t="shared" si="21"/>
        <v>-0.73174837667914938</v>
      </c>
    </row>
    <row r="31" spans="1:26" s="27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34" si="22">IF(D$12=0,0,D31/D$12)</f>
        <v>0</v>
      </c>
      <c r="G31" s="1"/>
      <c r="H31" s="1">
        <f>SUM(OSRRefH22_1x_0)</f>
        <v>5429.1</v>
      </c>
      <c r="I31" s="1"/>
      <c r="J31" s="5">
        <f t="shared" ref="J31:J34" si="23">IF(H$12=0,0,H31/H$12)</f>
        <v>3.0803928577507707</v>
      </c>
      <c r="K31" s="1"/>
      <c r="L31" s="1">
        <f t="shared" ref="L31:L34" si="24">+D31-H31</f>
        <v>-5429.1</v>
      </c>
      <c r="M31" s="1"/>
      <c r="N31" s="5">
        <f t="shared" ref="N31:N34" si="25">IF(H31=0,0,L31/H31)</f>
        <v>-1</v>
      </c>
      <c r="O31" s="14"/>
      <c r="P31" s="1">
        <f>SUM(OSRRefP22_1x_0)</f>
        <v>90.3</v>
      </c>
      <c r="Q31" s="1"/>
      <c r="R31" s="5">
        <f t="shared" ref="R31:R34" si="26">IF(P$12=0,0,P31/P$12)</f>
        <v>0</v>
      </c>
      <c r="S31" s="1"/>
      <c r="T31" s="1">
        <f>SUM(OSRRefT22_1x_0)</f>
        <v>13156.1</v>
      </c>
      <c r="U31" s="1"/>
      <c r="V31" s="5">
        <f t="shared" ref="V31:V34" si="27">IF(T$12=0,0,T31/T$12)</f>
        <v>5.3124406917911378</v>
      </c>
      <c r="W31" s="1"/>
      <c r="X31" s="1">
        <f t="shared" ref="X31:X34" si="28">+P31-T31</f>
        <v>-13065.800000000001</v>
      </c>
      <c r="Y31" s="1"/>
      <c r="Z31" s="5">
        <f t="shared" ref="Z31:Z34" si="29">IF(T31=0,0,X31/T31)</f>
        <v>-0.99313626378638054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2"/>
        <v>0</v>
      </c>
      <c r="G32" s="2"/>
      <c r="H32" s="7">
        <v>3952</v>
      </c>
      <c r="I32" s="2"/>
      <c r="J32" s="6">
        <f t="shared" si="23"/>
        <v>2.2423076704851717</v>
      </c>
      <c r="K32" s="2"/>
      <c r="L32" s="7">
        <f t="shared" si="24"/>
        <v>-3952</v>
      </c>
      <c r="M32" s="2"/>
      <c r="N32" s="6">
        <f t="shared" si="25"/>
        <v>-1</v>
      </c>
      <c r="O32" s="11"/>
      <c r="P32" s="7"/>
      <c r="Q32" s="2"/>
      <c r="R32" s="6">
        <f t="shared" si="26"/>
        <v>0</v>
      </c>
      <c r="S32" s="2"/>
      <c r="T32" s="7">
        <v>11024</v>
      </c>
      <c r="U32" s="2"/>
      <c r="V32" s="6">
        <f t="shared" si="27"/>
        <v>4.451497494417457</v>
      </c>
      <c r="W32" s="2"/>
      <c r="X32" s="7">
        <f t="shared" si="28"/>
        <v>-11024</v>
      </c>
      <c r="Y32" s="2"/>
      <c r="Z32" s="6">
        <f t="shared" si="29"/>
        <v>-1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22"/>
        <v>0</v>
      </c>
      <c r="G33" s="2"/>
      <c r="H33" s="7">
        <v>1784.1</v>
      </c>
      <c r="I33" s="2"/>
      <c r="J33" s="6">
        <f t="shared" si="23"/>
        <v>1.0122725493199884</v>
      </c>
      <c r="K33" s="2"/>
      <c r="L33" s="7">
        <f t="shared" si="24"/>
        <v>-1784.1</v>
      </c>
      <c r="M33" s="2"/>
      <c r="N33" s="6">
        <f t="shared" si="25"/>
        <v>-1</v>
      </c>
      <c r="O33" s="11"/>
      <c r="P33" s="7">
        <v>90.3</v>
      </c>
      <c r="Q33" s="2"/>
      <c r="R33" s="6">
        <f t="shared" si="26"/>
        <v>0</v>
      </c>
      <c r="S33" s="2"/>
      <c r="T33" s="7">
        <v>1784.1</v>
      </c>
      <c r="U33" s="2"/>
      <c r="V33" s="6">
        <f t="shared" si="27"/>
        <v>0.72042059867472641</v>
      </c>
      <c r="W33" s="2"/>
      <c r="X33" s="7">
        <f t="shared" si="28"/>
        <v>-1693.8</v>
      </c>
      <c r="Y33" s="2"/>
      <c r="Z33" s="6">
        <f t="shared" si="29"/>
        <v>-0.94938624516562975</v>
      </c>
    </row>
    <row r="34" spans="1:26" s="24" customFormat="1" hidden="1" outlineLevel="2" x14ac:dyDescent="0.25">
      <c r="A34" s="28"/>
      <c r="B34" s="11" t="str">
        <f>CONCATENATE("          ", "6007", " - ", "STUDENT HOURLY")</f>
        <v xml:space="preserve">          6007 - STUDENT HOURLY</v>
      </c>
      <c r="C34" s="11"/>
      <c r="D34" s="7"/>
      <c r="E34" s="2"/>
      <c r="F34" s="6">
        <f t="shared" si="22"/>
        <v>0</v>
      </c>
      <c r="G34" s="2"/>
      <c r="H34" s="7">
        <v>-307</v>
      </c>
      <c r="I34" s="2"/>
      <c r="J34" s="6">
        <f t="shared" si="23"/>
        <v>-0.17418736205438959</v>
      </c>
      <c r="K34" s="2"/>
      <c r="L34" s="7">
        <f t="shared" si="24"/>
        <v>307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348</v>
      </c>
      <c r="U34" s="2"/>
      <c r="V34" s="6">
        <f t="shared" si="27"/>
        <v>0.14052259869895456</v>
      </c>
      <c r="W34" s="2"/>
      <c r="X34" s="7">
        <f t="shared" si="28"/>
        <v>-348</v>
      </c>
      <c r="Y34" s="2"/>
      <c r="Z34" s="6">
        <f t="shared" si="29"/>
        <v>-1</v>
      </c>
    </row>
    <row r="35" spans="1:26" s="27" customFormat="1" outlineLevel="1" collapsed="1" x14ac:dyDescent="0.25">
      <c r="A35" s="29"/>
      <c r="B35" s="14" t="str">
        <f>CONCATENATE("     ","Bad Debts/Over/Short                              ")</f>
        <v xml:space="preserve">     Bad Debts/Over/Short                              </v>
      </c>
      <c r="C35" s="14"/>
      <c r="D35" s="1">
        <f>SUM(OSRRefD22_2x_0)</f>
        <v>0</v>
      </c>
      <c r="E35" s="1"/>
      <c r="F35" s="5">
        <f t="shared" ref="F35:F45" si="30">IF(D$12=0,0,D35/D$12)</f>
        <v>0</v>
      </c>
      <c r="G35" s="1"/>
      <c r="H35" s="1">
        <f>SUM(OSRRefH22_2x_0)</f>
        <v>-0.44</v>
      </c>
      <c r="I35" s="1"/>
      <c r="J35" s="5">
        <f t="shared" ref="J35:J45" si="31">IF(H$12=0,0,H35/H$12)</f>
        <v>-2.496496394264867E-4</v>
      </c>
      <c r="K35" s="1"/>
      <c r="L35" s="1">
        <f t="shared" ref="L35:L45" si="32">+D35-H35</f>
        <v>0.44</v>
      </c>
      <c r="M35" s="1"/>
      <c r="N35" s="5">
        <f t="shared" ref="N35:N45" si="33">IF(H35=0,0,L35/H35)</f>
        <v>-1</v>
      </c>
      <c r="O35" s="14"/>
      <c r="P35" s="1">
        <f>SUM(OSRRefP22_2x_0)</f>
        <v>0</v>
      </c>
      <c r="Q35" s="1"/>
      <c r="R35" s="5">
        <f t="shared" ref="R35:R45" si="34">IF(P$12=0,0,P35/P$12)</f>
        <v>0</v>
      </c>
      <c r="S35" s="1"/>
      <c r="T35" s="1">
        <f>SUM(OSRRefT22_2x_0)</f>
        <v>3.31</v>
      </c>
      <c r="U35" s="1"/>
      <c r="V35" s="5">
        <f t="shared" ref="V35:V45" si="35">IF(T$12=0,0,T35/T$12)</f>
        <v>1.3365798899239642E-3</v>
      </c>
      <c r="W35" s="1"/>
      <c r="X35" s="1">
        <f t="shared" ref="X35:X45" si="36">+P35-T35</f>
        <v>-3.31</v>
      </c>
      <c r="Y35" s="1"/>
      <c r="Z35" s="5">
        <f t="shared" ref="Z35:Z45" si="37">IF(T35=0,0,X35/T35)</f>
        <v>-1</v>
      </c>
    </row>
    <row r="36" spans="1:26" s="24" customFormat="1" hidden="1" outlineLevel="2" x14ac:dyDescent="0.25">
      <c r="A36" s="28"/>
      <c r="B36" s="11" t="str">
        <f>CONCATENATE("          ", "6272", " - ", "CASH (OVER/SHORT)")</f>
        <v xml:space="preserve">          6272 - CASH (OVER/SHORT)</v>
      </c>
      <c r="C36" s="11"/>
      <c r="D36" s="7"/>
      <c r="E36" s="2"/>
      <c r="F36" s="6">
        <f t="shared" si="30"/>
        <v>0</v>
      </c>
      <c r="G36" s="2"/>
      <c r="H36" s="7">
        <v>-0.44</v>
      </c>
      <c r="I36" s="2"/>
      <c r="J36" s="6">
        <f t="shared" si="31"/>
        <v>-2.496496394264867E-4</v>
      </c>
      <c r="K36" s="2"/>
      <c r="L36" s="7">
        <f t="shared" si="32"/>
        <v>0.44</v>
      </c>
      <c r="M36" s="2"/>
      <c r="N36" s="6">
        <f t="shared" si="33"/>
        <v>-1</v>
      </c>
      <c r="O36" s="11"/>
      <c r="P36" s="7"/>
      <c r="Q36" s="2"/>
      <c r="R36" s="6">
        <f t="shared" si="34"/>
        <v>0</v>
      </c>
      <c r="S36" s="2"/>
      <c r="T36" s="7">
        <v>3.31</v>
      </c>
      <c r="U36" s="2"/>
      <c r="V36" s="6">
        <f t="shared" si="35"/>
        <v>1.3365798899239642E-3</v>
      </c>
      <c r="W36" s="2"/>
      <c r="X36" s="7">
        <f t="shared" si="36"/>
        <v>-3.31</v>
      </c>
      <c r="Y36" s="2"/>
      <c r="Z36" s="6">
        <f t="shared" si="37"/>
        <v>-1</v>
      </c>
    </row>
    <row r="37" spans="1:26" s="27" customFormat="1" outlineLevel="1" collapsed="1" x14ac:dyDescent="0.25">
      <c r="A37" s="29"/>
      <c r="B37" s="14" t="str">
        <f>CONCATENATE("     ","Bank/card Fees                                    ")</f>
        <v xml:space="preserve">     Bank/card Fees                                    </v>
      </c>
      <c r="C37" s="14"/>
      <c r="D37" s="1">
        <f>SUM(OSRRefD22_3x_0)</f>
        <v>99.95</v>
      </c>
      <c r="E37" s="1"/>
      <c r="F37" s="5">
        <f t="shared" si="30"/>
        <v>0</v>
      </c>
      <c r="G37" s="1"/>
      <c r="H37" s="1">
        <f>SUM(OSRRefH22_3x_0)</f>
        <v>50.18</v>
      </c>
      <c r="I37" s="1"/>
      <c r="J37" s="5">
        <f t="shared" si="31"/>
        <v>2.8471406605502507E-2</v>
      </c>
      <c r="K37" s="1"/>
      <c r="L37" s="1">
        <f t="shared" si="32"/>
        <v>49.77</v>
      </c>
      <c r="M37" s="1"/>
      <c r="N37" s="5">
        <f t="shared" si="33"/>
        <v>0.99182941410920689</v>
      </c>
      <c r="O37" s="14"/>
      <c r="P37" s="1">
        <f>SUM(OSRRefP22_3x_0)</f>
        <v>275.41000000000003</v>
      </c>
      <c r="Q37" s="1"/>
      <c r="R37" s="5">
        <f t="shared" si="34"/>
        <v>0</v>
      </c>
      <c r="S37" s="1"/>
      <c r="T37" s="1">
        <f>SUM(OSRRefT22_3x_0)</f>
        <v>50.18</v>
      </c>
      <c r="U37" s="1"/>
      <c r="V37" s="5">
        <f t="shared" si="35"/>
        <v>2.0262712651475688E-2</v>
      </c>
      <c r="W37" s="1"/>
      <c r="X37" s="1">
        <f t="shared" si="36"/>
        <v>225.23000000000002</v>
      </c>
      <c r="Y37" s="1"/>
      <c r="Z37" s="5">
        <f t="shared" si="37"/>
        <v>4.4884416102032683</v>
      </c>
    </row>
    <row r="38" spans="1:26" s="24" customFormat="1" hidden="1" outlineLevel="2" x14ac:dyDescent="0.25">
      <c r="A38" s="28"/>
      <c r="B38" s="11" t="str">
        <f>CONCATENATE("          ", "6381", " - ", "BANK/CREDIT CARD FEES")</f>
        <v xml:space="preserve">          6381 - BANK/CREDIT CARD FEES</v>
      </c>
      <c r="C38" s="11"/>
      <c r="D38" s="7">
        <v>99.95</v>
      </c>
      <c r="E38" s="2"/>
      <c r="F38" s="6">
        <f t="shared" si="30"/>
        <v>0</v>
      </c>
      <c r="G38" s="2"/>
      <c r="H38" s="7">
        <v>50.18</v>
      </c>
      <c r="I38" s="2"/>
      <c r="J38" s="6">
        <f t="shared" si="31"/>
        <v>2.8471406605502507E-2</v>
      </c>
      <c r="K38" s="2"/>
      <c r="L38" s="7">
        <f t="shared" si="32"/>
        <v>49.77</v>
      </c>
      <c r="M38" s="2"/>
      <c r="N38" s="6">
        <f t="shared" si="33"/>
        <v>0.99182941410920689</v>
      </c>
      <c r="O38" s="11"/>
      <c r="P38" s="7">
        <v>275.41000000000003</v>
      </c>
      <c r="Q38" s="2"/>
      <c r="R38" s="6">
        <f t="shared" si="34"/>
        <v>0</v>
      </c>
      <c r="S38" s="2"/>
      <c r="T38" s="7">
        <v>50.18</v>
      </c>
      <c r="U38" s="2"/>
      <c r="V38" s="6">
        <f t="shared" si="35"/>
        <v>2.0262712651475688E-2</v>
      </c>
      <c r="W38" s="2"/>
      <c r="X38" s="7">
        <f t="shared" si="36"/>
        <v>225.23000000000002</v>
      </c>
      <c r="Y38" s="2"/>
      <c r="Z38" s="6">
        <f t="shared" si="37"/>
        <v>4.4884416102032683</v>
      </c>
    </row>
    <row r="39" spans="1:26" s="27" customFormat="1" outlineLevel="1" collapsed="1" x14ac:dyDescent="0.25">
      <c r="A39" s="29"/>
      <c r="B39" s="14" t="str">
        <f>CONCATENATE("     ","Depreciation                                      ")</f>
        <v xml:space="preserve">     Depreciation                                      </v>
      </c>
      <c r="C39" s="14"/>
      <c r="D39" s="1">
        <f>SUM(OSRRefD22_4x_0)</f>
        <v>1075.3800000000001</v>
      </c>
      <c r="E39" s="1"/>
      <c r="F39" s="5">
        <f t="shared" si="30"/>
        <v>0</v>
      </c>
      <c r="G39" s="1"/>
      <c r="H39" s="1">
        <f>SUM(OSRRefH22_4x_0)</f>
        <v>1075.3699999999999</v>
      </c>
      <c r="I39" s="1"/>
      <c r="J39" s="5">
        <f t="shared" si="31"/>
        <v>0.61014939261377499</v>
      </c>
      <c r="K39" s="1"/>
      <c r="L39" s="1">
        <f t="shared" si="32"/>
        <v>1.0000000000218279E-2</v>
      </c>
      <c r="M39" s="1"/>
      <c r="N39" s="5">
        <f t="shared" si="33"/>
        <v>9.2991249525449661E-6</v>
      </c>
      <c r="O39" s="14"/>
      <c r="P39" s="1">
        <f>SUM(OSRRefP22_4x_0)</f>
        <v>3226.16</v>
      </c>
      <c r="Q39" s="1"/>
      <c r="R39" s="5">
        <f t="shared" si="34"/>
        <v>0</v>
      </c>
      <c r="S39" s="1"/>
      <c r="T39" s="1">
        <f>SUM(OSRRefT22_4x_0)</f>
        <v>3226.11</v>
      </c>
      <c r="U39" s="1"/>
      <c r="V39" s="5">
        <f t="shared" si="35"/>
        <v>1.3027050600249548</v>
      </c>
      <c r="W39" s="1"/>
      <c r="X39" s="1">
        <f t="shared" si="36"/>
        <v>4.9999999999727152E-2</v>
      </c>
      <c r="Y39" s="1"/>
      <c r="Z39" s="5">
        <f t="shared" si="37"/>
        <v>1.5498541587152065E-5</v>
      </c>
    </row>
    <row r="40" spans="1:26" s="24" customFormat="1" hidden="1" outlineLevel="2" x14ac:dyDescent="0.25">
      <c r="A40" s="28"/>
      <c r="B40" s="11" t="str">
        <f>CONCATENATE("          ", "6322", " - ", "EQUIPMENT DEPRECIATION EXPENSE")</f>
        <v xml:space="preserve">          6322 - EQUIPMENT DEPRECIATION EXPENSE</v>
      </c>
      <c r="C40" s="11"/>
      <c r="D40" s="7">
        <v>1075.3800000000001</v>
      </c>
      <c r="E40" s="2"/>
      <c r="F40" s="6">
        <f t="shared" si="30"/>
        <v>0</v>
      </c>
      <c r="G40" s="2"/>
      <c r="H40" s="7">
        <v>1075.3699999999999</v>
      </c>
      <c r="I40" s="2"/>
      <c r="J40" s="6">
        <f t="shared" si="31"/>
        <v>0.61014939261377499</v>
      </c>
      <c r="K40" s="2"/>
      <c r="L40" s="7">
        <f t="shared" si="32"/>
        <v>1.0000000000218279E-2</v>
      </c>
      <c r="M40" s="2"/>
      <c r="N40" s="6">
        <f t="shared" si="33"/>
        <v>9.2991249525449661E-6</v>
      </c>
      <c r="O40" s="11"/>
      <c r="P40" s="7">
        <v>3226.16</v>
      </c>
      <c r="Q40" s="2"/>
      <c r="R40" s="6">
        <f t="shared" si="34"/>
        <v>0</v>
      </c>
      <c r="S40" s="2"/>
      <c r="T40" s="7">
        <v>3226.11</v>
      </c>
      <c r="U40" s="2"/>
      <c r="V40" s="6">
        <f t="shared" si="35"/>
        <v>1.3027050600249548</v>
      </c>
      <c r="W40" s="2"/>
      <c r="X40" s="7">
        <f t="shared" si="36"/>
        <v>4.9999999999727152E-2</v>
      </c>
      <c r="Y40" s="2"/>
      <c r="Z40" s="6">
        <f t="shared" si="37"/>
        <v>1.5498541587152065E-5</v>
      </c>
    </row>
    <row r="41" spans="1:26" s="27" customFormat="1" outlineLevel="1" collapsed="1" x14ac:dyDescent="0.25">
      <c r="A41" s="29"/>
      <c r="B41" s="14" t="str">
        <f>CONCATENATE("     ","General                                           ")</f>
        <v xml:space="preserve">     General                                           </v>
      </c>
      <c r="C41" s="14"/>
      <c r="D41" s="1">
        <f>SUM(OSRRefD22_5x_0)</f>
        <v>0</v>
      </c>
      <c r="E41" s="1"/>
      <c r="F41" s="5">
        <f t="shared" si="30"/>
        <v>0</v>
      </c>
      <c r="G41" s="1"/>
      <c r="H41" s="1">
        <f>SUM(OSRRefH22_5x_0)</f>
        <v>0</v>
      </c>
      <c r="I41" s="1"/>
      <c r="J41" s="5">
        <f t="shared" si="31"/>
        <v>0</v>
      </c>
      <c r="K41" s="1"/>
      <c r="L41" s="1">
        <f t="shared" si="32"/>
        <v>0</v>
      </c>
      <c r="M41" s="1"/>
      <c r="N41" s="5">
        <f t="shared" si="33"/>
        <v>0</v>
      </c>
      <c r="O41" s="14"/>
      <c r="P41" s="1">
        <f>SUM(OSRRefP22_5x_0)</f>
        <v>769.55</v>
      </c>
      <c r="Q41" s="1"/>
      <c r="R41" s="5">
        <f t="shared" si="34"/>
        <v>0</v>
      </c>
      <c r="S41" s="1"/>
      <c r="T41" s="1">
        <f>SUM(OSRRefT22_5x_0)</f>
        <v>754.55</v>
      </c>
      <c r="U41" s="1"/>
      <c r="V41" s="5">
        <f t="shared" si="35"/>
        <v>0.3046877208284372</v>
      </c>
      <c r="W41" s="1"/>
      <c r="X41" s="1">
        <f t="shared" si="36"/>
        <v>15</v>
      </c>
      <c r="Y41" s="1"/>
      <c r="Z41" s="5">
        <f t="shared" si="37"/>
        <v>1.987939831687761E-2</v>
      </c>
    </row>
    <row r="42" spans="1:26" s="24" customFormat="1" hidden="1" outlineLevel="2" x14ac:dyDescent="0.25">
      <c r="A42" s="28"/>
      <c r="B42" s="11" t="str">
        <f>CONCATENATE("          ", "6279", " - ", "GENERAL EXPENSE")</f>
        <v xml:space="preserve">          6279 - GENERAL EXPENSE</v>
      </c>
      <c r="C42" s="11"/>
      <c r="D42" s="7"/>
      <c r="E42" s="2"/>
      <c r="F42" s="6">
        <f t="shared" si="30"/>
        <v>0</v>
      </c>
      <c r="G42" s="2"/>
      <c r="H42" s="7"/>
      <c r="I42" s="2"/>
      <c r="J42" s="6">
        <f t="shared" si="31"/>
        <v>0</v>
      </c>
      <c r="K42" s="2"/>
      <c r="L42" s="7">
        <f t="shared" si="32"/>
        <v>0</v>
      </c>
      <c r="M42" s="2"/>
      <c r="N42" s="6">
        <f t="shared" si="33"/>
        <v>0</v>
      </c>
      <c r="O42" s="11"/>
      <c r="P42" s="7">
        <v>769.55</v>
      </c>
      <c r="Q42" s="2"/>
      <c r="R42" s="6">
        <f t="shared" si="34"/>
        <v>0</v>
      </c>
      <c r="S42" s="2"/>
      <c r="T42" s="7">
        <v>754.55</v>
      </c>
      <c r="U42" s="2"/>
      <c r="V42" s="6">
        <f t="shared" si="35"/>
        <v>0.3046877208284372</v>
      </c>
      <c r="W42" s="2"/>
      <c r="X42" s="7">
        <f t="shared" si="36"/>
        <v>15</v>
      </c>
      <c r="Y42" s="2"/>
      <c r="Z42" s="6">
        <f t="shared" si="37"/>
        <v>1.987939831687761E-2</v>
      </c>
    </row>
    <row r="43" spans="1:26" s="27" customFormat="1" outlineLevel="1" collapsed="1" x14ac:dyDescent="0.25">
      <c r="A43" s="29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SUM(OSRRefD22_6x_0)</f>
        <v>47.9</v>
      </c>
      <c r="E43" s="1"/>
      <c r="F43" s="5">
        <f t="shared" si="30"/>
        <v>0</v>
      </c>
      <c r="G43" s="1"/>
      <c r="H43" s="1">
        <f>SUM(OSRRefH22_6x_0)</f>
        <v>275.79000000000002</v>
      </c>
      <c r="I43" s="1"/>
      <c r="J43" s="5">
        <f t="shared" si="31"/>
        <v>0.15647925922143358</v>
      </c>
      <c r="K43" s="1"/>
      <c r="L43" s="1">
        <f t="shared" si="32"/>
        <v>-227.89000000000001</v>
      </c>
      <c r="M43" s="1"/>
      <c r="N43" s="5">
        <f t="shared" si="33"/>
        <v>-0.82631712534899737</v>
      </c>
      <c r="O43" s="14"/>
      <c r="P43" s="1">
        <f>SUM(OSRRefP22_6x_0)</f>
        <v>47.9</v>
      </c>
      <c r="Q43" s="1"/>
      <c r="R43" s="5">
        <f t="shared" si="34"/>
        <v>0</v>
      </c>
      <c r="S43" s="1"/>
      <c r="T43" s="1">
        <f>SUM(OSRRefT22_6x_0)</f>
        <v>444.39</v>
      </c>
      <c r="U43" s="1"/>
      <c r="V43" s="5">
        <f t="shared" si="35"/>
        <v>0.17944493573513912</v>
      </c>
      <c r="W43" s="1"/>
      <c r="X43" s="1">
        <f t="shared" si="36"/>
        <v>-396.49</v>
      </c>
      <c r="Y43" s="1"/>
      <c r="Z43" s="5">
        <f t="shared" si="37"/>
        <v>-0.89221179594500333</v>
      </c>
    </row>
    <row r="44" spans="1:26" s="24" customFormat="1" hidden="1" outlineLevel="2" x14ac:dyDescent="0.25">
      <c r="A44" s="28"/>
      <c r="B44" s="11" t="str">
        <f>CONCATENATE("          ", "6373", " - ", "MAINTENANCE CONTRACTS")</f>
        <v xml:space="preserve">          6373 - MAINTENANCE CONTRACTS</v>
      </c>
      <c r="C44" s="11"/>
      <c r="D44" s="7">
        <v>47.9</v>
      </c>
      <c r="E44" s="2"/>
      <c r="F44" s="6">
        <f t="shared" si="30"/>
        <v>0</v>
      </c>
      <c r="G44" s="2"/>
      <c r="H44" s="7">
        <v>48.23</v>
      </c>
      <c r="I44" s="2"/>
      <c r="J44" s="6">
        <f t="shared" si="31"/>
        <v>2.736500479440785E-2</v>
      </c>
      <c r="K44" s="2"/>
      <c r="L44" s="7">
        <f t="shared" si="32"/>
        <v>-0.32999999999999829</v>
      </c>
      <c r="M44" s="2"/>
      <c r="N44" s="6">
        <f t="shared" si="33"/>
        <v>-6.8422143893841656E-3</v>
      </c>
      <c r="O44" s="11"/>
      <c r="P44" s="7">
        <v>47.9</v>
      </c>
      <c r="Q44" s="2"/>
      <c r="R44" s="6">
        <f t="shared" si="34"/>
        <v>0</v>
      </c>
      <c r="S44" s="2"/>
      <c r="T44" s="7">
        <v>126.83</v>
      </c>
      <c r="U44" s="2"/>
      <c r="V44" s="6">
        <f t="shared" si="35"/>
        <v>5.1214026416633349E-2</v>
      </c>
      <c r="W44" s="2"/>
      <c r="X44" s="7">
        <f t="shared" si="36"/>
        <v>-78.930000000000007</v>
      </c>
      <c r="Y44" s="2"/>
      <c r="Z44" s="6">
        <f t="shared" si="37"/>
        <v>-0.62232910194748881</v>
      </c>
    </row>
    <row r="45" spans="1:26" s="24" customFormat="1" hidden="1" outlineLevel="2" x14ac:dyDescent="0.25">
      <c r="A45" s="28"/>
      <c r="B45" s="11" t="str">
        <f>CONCATENATE("          ", "6375", " - ", "OUTSIDE REPAIRS &amp; MAINTENANCE")</f>
        <v xml:space="preserve">          6375 - OUTSIDE REPAIRS &amp; MAINTENANCE</v>
      </c>
      <c r="C45" s="11"/>
      <c r="D45" s="7"/>
      <c r="E45" s="2"/>
      <c r="F45" s="6">
        <f t="shared" si="30"/>
        <v>0</v>
      </c>
      <c r="G45" s="2"/>
      <c r="H45" s="7">
        <v>227.56</v>
      </c>
      <c r="I45" s="2"/>
      <c r="J45" s="6">
        <f t="shared" si="31"/>
        <v>0.12911425442702573</v>
      </c>
      <c r="K45" s="2"/>
      <c r="L45" s="7">
        <f t="shared" si="32"/>
        <v>-227.56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317.56</v>
      </c>
      <c r="U45" s="2"/>
      <c r="V45" s="6">
        <f t="shared" si="35"/>
        <v>0.12823090931850575</v>
      </c>
      <c r="W45" s="2"/>
      <c r="X45" s="7">
        <f t="shared" si="36"/>
        <v>-317.56</v>
      </c>
      <c r="Y45" s="2"/>
      <c r="Z45" s="6">
        <f t="shared" si="37"/>
        <v>-1</v>
      </c>
    </row>
    <row r="46" spans="1:26" s="27" customFormat="1" outlineLevel="1" collapsed="1" x14ac:dyDescent="0.25">
      <c r="A46" s="29"/>
      <c r="B46" s="14" t="str">
        <f>CONCATENATE("     ","Services                                          ")</f>
        <v xml:space="preserve">     Services                                          </v>
      </c>
      <c r="C46" s="14"/>
      <c r="D46" s="1">
        <f>SUM(OSRRefD22_7x_0)</f>
        <v>0</v>
      </c>
      <c r="E46" s="1"/>
      <c r="F46" s="5">
        <f t="shared" ref="F46:F48" si="38">IF(D$12=0,0,D46/D$12)</f>
        <v>0</v>
      </c>
      <c r="G46" s="1"/>
      <c r="H46" s="1">
        <f>SUM(OSRRefH22_7x_0)</f>
        <v>41</v>
      </c>
      <c r="I46" s="1"/>
      <c r="J46" s="5">
        <f t="shared" ref="J46:J48" si="39">IF(H$12=0,0,H46/H$12)</f>
        <v>2.3262807310195352E-2</v>
      </c>
      <c r="K46" s="1"/>
      <c r="L46" s="1">
        <f t="shared" ref="L46:L48" si="40">+D46-H46</f>
        <v>-41</v>
      </c>
      <c r="M46" s="1"/>
      <c r="N46" s="5">
        <f t="shared" ref="N46:N48" si="41">IF(H46=0,0,L46/H46)</f>
        <v>-1</v>
      </c>
      <c r="O46" s="14"/>
      <c r="P46" s="1">
        <f>SUM(OSRRefP22_7x_0)</f>
        <v>103.2</v>
      </c>
      <c r="Q46" s="1"/>
      <c r="R46" s="5">
        <f t="shared" ref="R46:R48" si="42">IF(P$12=0,0,P46/P$12)</f>
        <v>0</v>
      </c>
      <c r="S46" s="1"/>
      <c r="T46" s="1">
        <f>SUM(OSRRefT22_7x_0)</f>
        <v>-104.32</v>
      </c>
      <c r="U46" s="1"/>
      <c r="V46" s="5">
        <f t="shared" ref="V46:V48" si="43">IF(T$12=0,0,T46/T$12)</f>
        <v>-4.2124475564008439E-2</v>
      </c>
      <c r="W46" s="1"/>
      <c r="X46" s="1">
        <f t="shared" ref="X46:X48" si="44">+P46-T46</f>
        <v>207.51999999999998</v>
      </c>
      <c r="Y46" s="1"/>
      <c r="Z46" s="5">
        <f t="shared" ref="Z46:Z48" si="45">IF(T46=0,0,X46/T46)</f>
        <v>-1.9892638036809815</v>
      </c>
    </row>
    <row r="47" spans="1:26" s="24" customFormat="1" hidden="1" outlineLevel="2" x14ac:dyDescent="0.25">
      <c r="A47" s="28"/>
      <c r="B47" s="11" t="str">
        <f>CONCATENATE("          ", "6282", " - ", "JANITORIAL/EXTERMINATOR EXPENS")</f>
        <v xml:space="preserve">          6282 - JANITORIAL/EXTERMINATOR EXPENS</v>
      </c>
      <c r="C47" s="11"/>
      <c r="D47" s="7"/>
      <c r="E47" s="2"/>
      <c r="F47" s="6">
        <f t="shared" si="38"/>
        <v>0</v>
      </c>
      <c r="G47" s="2"/>
      <c r="H47" s="7">
        <v>41</v>
      </c>
      <c r="I47" s="2"/>
      <c r="J47" s="6">
        <f t="shared" si="39"/>
        <v>2.3262807310195352E-2</v>
      </c>
      <c r="K47" s="2"/>
      <c r="L47" s="7">
        <f t="shared" si="40"/>
        <v>-41</v>
      </c>
      <c r="M47" s="2"/>
      <c r="N47" s="6">
        <f t="shared" si="41"/>
        <v>-1</v>
      </c>
      <c r="O47" s="11"/>
      <c r="P47" s="7"/>
      <c r="Q47" s="2"/>
      <c r="R47" s="6">
        <f t="shared" si="42"/>
        <v>0</v>
      </c>
      <c r="S47" s="2"/>
      <c r="T47" s="7">
        <v>41</v>
      </c>
      <c r="U47" s="2"/>
      <c r="V47" s="6">
        <f t="shared" si="43"/>
        <v>1.6555823409934299E-2</v>
      </c>
      <c r="W47" s="2"/>
      <c r="X47" s="7">
        <f t="shared" si="44"/>
        <v>-41</v>
      </c>
      <c r="Y47" s="2"/>
      <c r="Z47" s="6">
        <f t="shared" si="45"/>
        <v>-1</v>
      </c>
    </row>
    <row r="48" spans="1:26" s="24" customFormat="1" hidden="1" outlineLevel="2" x14ac:dyDescent="0.25">
      <c r="A48" s="28"/>
      <c r="B48" s="11" t="str">
        <f>CONCATENATE("          ", "6285", " - ", "JANITORIAL SERVICES")</f>
        <v xml:space="preserve">          6285 - JANITORIAL SERVICES</v>
      </c>
      <c r="C48" s="11"/>
      <c r="D48" s="7"/>
      <c r="E48" s="2"/>
      <c r="F48" s="6">
        <f t="shared" si="38"/>
        <v>0</v>
      </c>
      <c r="G48" s="2"/>
      <c r="H48" s="7"/>
      <c r="I48" s="2"/>
      <c r="J48" s="6">
        <f t="shared" si="39"/>
        <v>0</v>
      </c>
      <c r="K48" s="2"/>
      <c r="L48" s="7">
        <f t="shared" si="40"/>
        <v>0</v>
      </c>
      <c r="M48" s="2"/>
      <c r="N48" s="6">
        <f t="shared" si="41"/>
        <v>0</v>
      </c>
      <c r="O48" s="11"/>
      <c r="P48" s="7">
        <v>103.2</v>
      </c>
      <c r="Q48" s="2"/>
      <c r="R48" s="6">
        <f t="shared" si="42"/>
        <v>0</v>
      </c>
      <c r="S48" s="2"/>
      <c r="T48" s="7">
        <v>-145.32</v>
      </c>
      <c r="U48" s="2"/>
      <c r="V48" s="6">
        <f t="shared" si="43"/>
        <v>-5.8680298973942738E-2</v>
      </c>
      <c r="W48" s="2"/>
      <c r="X48" s="7">
        <f t="shared" si="44"/>
        <v>248.51999999999998</v>
      </c>
      <c r="Y48" s="2"/>
      <c r="Z48" s="6">
        <f t="shared" si="45"/>
        <v>-1.7101568951279933</v>
      </c>
    </row>
    <row r="49" spans="1:26" s="27" customFormat="1" outlineLevel="1" collapsed="1" x14ac:dyDescent="0.25">
      <c r="A49" s="29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SUM(OSRRefD22_8x_0)</f>
        <v>0</v>
      </c>
      <c r="E49" s="1"/>
      <c r="F49" s="5">
        <f t="shared" ref="F49:F53" si="46">IF(D$12=0,0,D49/D$12)</f>
        <v>0</v>
      </c>
      <c r="G49" s="1"/>
      <c r="H49" s="1">
        <f>SUM(OSRRefH22_8x_0)</f>
        <v>0</v>
      </c>
      <c r="I49" s="1"/>
      <c r="J49" s="5">
        <f t="shared" ref="J49:J53" si="47">IF(H$12=0,0,H49/H$12)</f>
        <v>0</v>
      </c>
      <c r="K49" s="1"/>
      <c r="L49" s="1">
        <f t="shared" ref="L49:L53" si="48">+D49-H49</f>
        <v>0</v>
      </c>
      <c r="M49" s="1"/>
      <c r="N49" s="5">
        <f t="shared" ref="N49:N53" si="49">IF(H49=0,0,L49/H49)</f>
        <v>0</v>
      </c>
      <c r="O49" s="14"/>
      <c r="P49" s="1">
        <f>SUM(OSRRefP22_8x_0)</f>
        <v>42.84</v>
      </c>
      <c r="Q49" s="1"/>
      <c r="R49" s="5">
        <f t="shared" ref="R49:R53" si="50">IF(P$12=0,0,P49/P$12)</f>
        <v>0</v>
      </c>
      <c r="S49" s="1"/>
      <c r="T49" s="1">
        <f>SUM(OSRRefT22_8x_0)</f>
        <v>287.55</v>
      </c>
      <c r="U49" s="1"/>
      <c r="V49" s="5">
        <f t="shared" ref="V49:V53" si="51">IF(T$12=0,0,T49/T$12)</f>
        <v>0.11611285418357581</v>
      </c>
      <c r="W49" s="1"/>
      <c r="X49" s="1">
        <f t="shared" ref="X49:X53" si="52">+P49-T49</f>
        <v>-244.71</v>
      </c>
      <c r="Y49" s="1"/>
      <c r="Z49" s="5">
        <f t="shared" ref="Z49:Z53" si="53">IF(T49=0,0,X49/T49)</f>
        <v>-0.85101721439749611</v>
      </c>
    </row>
    <row r="50" spans="1:26" s="24" customFormat="1" hidden="1" outlineLevel="2" x14ac:dyDescent="0.25">
      <c r="A50" s="28"/>
      <c r="B50" s="11" t="str">
        <f>CONCATENATE("          ", "6235", " - ", "COVID-19 EXPENSES")</f>
        <v xml:space="preserve">          6235 - COVID-19 EXPENSES</v>
      </c>
      <c r="C50" s="11"/>
      <c r="D50" s="7"/>
      <c r="E50" s="2"/>
      <c r="F50" s="6">
        <f t="shared" si="46"/>
        <v>0</v>
      </c>
      <c r="G50" s="2"/>
      <c r="H50" s="7"/>
      <c r="I50" s="2"/>
      <c r="J50" s="6">
        <f t="shared" si="47"/>
        <v>0</v>
      </c>
      <c r="K50" s="2"/>
      <c r="L50" s="7">
        <f t="shared" si="48"/>
        <v>0</v>
      </c>
      <c r="M50" s="2"/>
      <c r="N50" s="6">
        <f t="shared" si="49"/>
        <v>0</v>
      </c>
      <c r="O50" s="11"/>
      <c r="P50" s="7"/>
      <c r="Q50" s="2"/>
      <c r="R50" s="6">
        <f t="shared" si="50"/>
        <v>0</v>
      </c>
      <c r="S50" s="2"/>
      <c r="T50" s="7">
        <v>207.27</v>
      </c>
      <c r="U50" s="2"/>
      <c r="V50" s="6">
        <f t="shared" si="51"/>
        <v>8.3695744345782502E-2</v>
      </c>
      <c r="W50" s="2"/>
      <c r="X50" s="7">
        <f t="shared" si="52"/>
        <v>-207.27</v>
      </c>
      <c r="Y50" s="2"/>
      <c r="Z50" s="6">
        <f t="shared" si="53"/>
        <v>-1</v>
      </c>
    </row>
    <row r="51" spans="1:26" s="24" customFormat="1" hidden="1" outlineLevel="2" x14ac:dyDescent="0.25">
      <c r="A51" s="28"/>
      <c r="B51" s="11" t="str">
        <f>CONCATENATE("          ", "6237", " - ", "JANITORIAL SUPPLIES")</f>
        <v xml:space="preserve">          6237 - JANITORIAL SUPPLIES</v>
      </c>
      <c r="C51" s="11"/>
      <c r="D51" s="7"/>
      <c r="E51" s="2"/>
      <c r="F51" s="6">
        <f t="shared" si="46"/>
        <v>0</v>
      </c>
      <c r="G51" s="2"/>
      <c r="H51" s="7"/>
      <c r="I51" s="2"/>
      <c r="J51" s="6">
        <f t="shared" si="47"/>
        <v>0</v>
      </c>
      <c r="K51" s="2"/>
      <c r="L51" s="7">
        <f t="shared" si="48"/>
        <v>0</v>
      </c>
      <c r="M51" s="2"/>
      <c r="N51" s="6">
        <f t="shared" si="49"/>
        <v>0</v>
      </c>
      <c r="O51" s="11"/>
      <c r="P51" s="7">
        <v>38.340000000000003</v>
      </c>
      <c r="Q51" s="2"/>
      <c r="R51" s="6">
        <f t="shared" si="50"/>
        <v>0</v>
      </c>
      <c r="S51" s="2"/>
      <c r="T51" s="7"/>
      <c r="U51" s="2"/>
      <c r="V51" s="6">
        <f t="shared" si="51"/>
        <v>0</v>
      </c>
      <c r="W51" s="2"/>
      <c r="X51" s="7">
        <f t="shared" si="52"/>
        <v>38.340000000000003</v>
      </c>
      <c r="Y51" s="2"/>
      <c r="Z51" s="6">
        <f t="shared" si="53"/>
        <v>0</v>
      </c>
    </row>
    <row r="52" spans="1:26" s="24" customFormat="1" hidden="1" outlineLevel="2" x14ac:dyDescent="0.25">
      <c r="A52" s="28"/>
      <c r="B52" s="11" t="str">
        <f>CONCATENATE("          ", "6241", " - ", "OFFICE EXPENSE")</f>
        <v xml:space="preserve">          6241 - OFFICE EXPENSE</v>
      </c>
      <c r="C52" s="11"/>
      <c r="D52" s="7"/>
      <c r="E52" s="2"/>
      <c r="F52" s="6">
        <f t="shared" si="46"/>
        <v>0</v>
      </c>
      <c r="G52" s="2"/>
      <c r="H52" s="7"/>
      <c r="I52" s="2"/>
      <c r="J52" s="6">
        <f t="shared" si="47"/>
        <v>0</v>
      </c>
      <c r="K52" s="2"/>
      <c r="L52" s="7">
        <f t="shared" si="48"/>
        <v>0</v>
      </c>
      <c r="M52" s="2"/>
      <c r="N52" s="6">
        <f t="shared" si="49"/>
        <v>0</v>
      </c>
      <c r="O52" s="11"/>
      <c r="P52" s="7">
        <v>4.5</v>
      </c>
      <c r="Q52" s="2"/>
      <c r="R52" s="6">
        <f t="shared" si="50"/>
        <v>0</v>
      </c>
      <c r="S52" s="2"/>
      <c r="T52" s="7"/>
      <c r="U52" s="2"/>
      <c r="V52" s="6">
        <f t="shared" si="51"/>
        <v>0</v>
      </c>
      <c r="W52" s="2"/>
      <c r="X52" s="7">
        <f t="shared" si="52"/>
        <v>4.5</v>
      </c>
      <c r="Y52" s="2"/>
      <c r="Z52" s="6">
        <f t="shared" si="53"/>
        <v>0</v>
      </c>
    </row>
    <row r="53" spans="1:26" s="24" customFormat="1" hidden="1" outlineLevel="2" x14ac:dyDescent="0.25">
      <c r="A53" s="28"/>
      <c r="B53" s="11" t="str">
        <f>CONCATENATE("          ", "6247", " - ", "STORE SUPPLIES")</f>
        <v xml:space="preserve">          6247 - STORE SUPPLIES</v>
      </c>
      <c r="C53" s="11"/>
      <c r="D53" s="7"/>
      <c r="E53" s="2"/>
      <c r="F53" s="6">
        <f t="shared" si="46"/>
        <v>0</v>
      </c>
      <c r="G53" s="2"/>
      <c r="H53" s="7"/>
      <c r="I53" s="2"/>
      <c r="J53" s="6">
        <f t="shared" si="47"/>
        <v>0</v>
      </c>
      <c r="K53" s="2"/>
      <c r="L53" s="7">
        <f t="shared" si="48"/>
        <v>0</v>
      </c>
      <c r="M53" s="2"/>
      <c r="N53" s="6">
        <f t="shared" si="49"/>
        <v>0</v>
      </c>
      <c r="O53" s="11"/>
      <c r="P53" s="7"/>
      <c r="Q53" s="2"/>
      <c r="R53" s="6">
        <f t="shared" si="50"/>
        <v>0</v>
      </c>
      <c r="S53" s="2"/>
      <c r="T53" s="7">
        <v>80.28</v>
      </c>
      <c r="U53" s="2"/>
      <c r="V53" s="6">
        <f t="shared" si="51"/>
        <v>3.2417109837793306E-2</v>
      </c>
      <c r="W53" s="2"/>
      <c r="X53" s="7">
        <f t="shared" si="52"/>
        <v>-80.28</v>
      </c>
      <c r="Y53" s="2"/>
      <c r="Z53" s="6">
        <f t="shared" si="53"/>
        <v>-1</v>
      </c>
    </row>
    <row r="54" spans="1:26" s="27" customFormat="1" outlineLevel="1" collapsed="1" x14ac:dyDescent="0.25">
      <c r="A54" s="29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SUM(OSRRefD22_9x_0)</f>
        <v>51.5</v>
      </c>
      <c r="E54" s="1"/>
      <c r="F54" s="5">
        <f t="shared" ref="F54:F57" si="54">IF(D$12=0,0,D54/D$12)</f>
        <v>0</v>
      </c>
      <c r="G54" s="1"/>
      <c r="H54" s="1">
        <f>SUM(OSRRefH22_9x_0)</f>
        <v>125</v>
      </c>
      <c r="I54" s="1"/>
      <c r="J54" s="5">
        <f t="shared" ref="J54:J57" si="55">IF(H$12=0,0,H54/H$12)</f>
        <v>7.0923193018888275E-2</v>
      </c>
      <c r="K54" s="1"/>
      <c r="L54" s="1">
        <f t="shared" ref="L54:L57" si="56">+D54-H54</f>
        <v>-73.5</v>
      </c>
      <c r="M54" s="1"/>
      <c r="N54" s="5">
        <f t="shared" ref="N54:N57" si="57">IF(H54=0,0,L54/H54)</f>
        <v>-0.58799999999999997</v>
      </c>
      <c r="O54" s="14"/>
      <c r="P54" s="1">
        <f>SUM(OSRRefP22_9x_0)</f>
        <v>132.5</v>
      </c>
      <c r="Q54" s="1"/>
      <c r="R54" s="5">
        <f t="shared" ref="R54:R57" si="58">IF(P$12=0,0,P54/P$12)</f>
        <v>0</v>
      </c>
      <c r="S54" s="1"/>
      <c r="T54" s="1">
        <f>SUM(OSRRefT22_9x_0)</f>
        <v>328</v>
      </c>
      <c r="U54" s="1"/>
      <c r="V54" s="5">
        <f t="shared" ref="V54:V57" si="59">IF(T$12=0,0,T54/T$12)</f>
        <v>0.13244658727947439</v>
      </c>
      <c r="W54" s="1"/>
      <c r="X54" s="1">
        <f t="shared" ref="X54:X57" si="60">+P54-T54</f>
        <v>-195.5</v>
      </c>
      <c r="Y54" s="1"/>
      <c r="Z54" s="5">
        <f t="shared" ref="Z54:Z57" si="61">IF(T54=0,0,X54/T54)</f>
        <v>-0.59603658536585369</v>
      </c>
    </row>
    <row r="55" spans="1:26" s="24" customFormat="1" hidden="1" outlineLevel="2" x14ac:dyDescent="0.25">
      <c r="A55" s="28"/>
      <c r="B55" s="11" t="str">
        <f>CONCATENATE("          ", "6309", " - ", "TELEPHONE")</f>
        <v xml:space="preserve">          6309 - TELEPHONE</v>
      </c>
      <c r="C55" s="11"/>
      <c r="D55" s="7">
        <v>51.5</v>
      </c>
      <c r="E55" s="2"/>
      <c r="F55" s="6">
        <f t="shared" si="54"/>
        <v>0</v>
      </c>
      <c r="G55" s="2"/>
      <c r="H55" s="7">
        <v>125</v>
      </c>
      <c r="I55" s="2"/>
      <c r="J55" s="6">
        <f t="shared" si="55"/>
        <v>7.0923193018888275E-2</v>
      </c>
      <c r="K55" s="2"/>
      <c r="L55" s="7">
        <f t="shared" si="56"/>
        <v>-73.5</v>
      </c>
      <c r="M55" s="2"/>
      <c r="N55" s="6">
        <f t="shared" si="57"/>
        <v>-0.58799999999999997</v>
      </c>
      <c r="O55" s="11"/>
      <c r="P55" s="7">
        <v>132.5</v>
      </c>
      <c r="Q55" s="2"/>
      <c r="R55" s="6">
        <f t="shared" si="58"/>
        <v>0</v>
      </c>
      <c r="S55" s="2"/>
      <c r="T55" s="7">
        <v>328</v>
      </c>
      <c r="U55" s="2"/>
      <c r="V55" s="6">
        <f t="shared" si="59"/>
        <v>0.13244658727947439</v>
      </c>
      <c r="W55" s="2"/>
      <c r="X55" s="7">
        <f t="shared" si="60"/>
        <v>-195.5</v>
      </c>
      <c r="Y55" s="2"/>
      <c r="Z55" s="6">
        <f t="shared" si="61"/>
        <v>-0.59603658536585369</v>
      </c>
    </row>
    <row r="56" spans="1:26" s="27" customFormat="1" outlineLevel="1" collapsed="1" x14ac:dyDescent="0.25">
      <c r="A56" s="29"/>
      <c r="B56" s="14" t="str">
        <f>CONCATENATE("     ","Utilities                                         ")</f>
        <v xml:space="preserve">     Utilities                                         </v>
      </c>
      <c r="C56" s="14"/>
      <c r="D56" s="1">
        <f>SUM(OSRRefD22_10x_0)</f>
        <v>0</v>
      </c>
      <c r="E56" s="1"/>
      <c r="F56" s="5">
        <f t="shared" si="54"/>
        <v>0</v>
      </c>
      <c r="G56" s="1"/>
      <c r="H56" s="1">
        <f>SUM(OSRRefH22_10x_0)</f>
        <v>50</v>
      </c>
      <c r="I56" s="1"/>
      <c r="J56" s="5">
        <f t="shared" si="55"/>
        <v>2.8369277207555308E-2</v>
      </c>
      <c r="K56" s="1"/>
      <c r="L56" s="1">
        <f t="shared" si="56"/>
        <v>-50</v>
      </c>
      <c r="M56" s="1"/>
      <c r="N56" s="5">
        <f t="shared" si="57"/>
        <v>-1</v>
      </c>
      <c r="O56" s="14"/>
      <c r="P56" s="1">
        <f>SUM(OSRRefP22_10x_0)</f>
        <v>0</v>
      </c>
      <c r="Q56" s="1"/>
      <c r="R56" s="5">
        <f t="shared" si="58"/>
        <v>0</v>
      </c>
      <c r="S56" s="1"/>
      <c r="T56" s="1">
        <f>SUM(OSRRefT22_10x_0)</f>
        <v>150</v>
      </c>
      <c r="U56" s="1"/>
      <c r="V56" s="5">
        <f t="shared" si="59"/>
        <v>6.0570085646101099E-2</v>
      </c>
      <c r="W56" s="1"/>
      <c r="X56" s="1">
        <f t="shared" si="60"/>
        <v>-150</v>
      </c>
      <c r="Y56" s="1"/>
      <c r="Z56" s="5">
        <f t="shared" si="61"/>
        <v>-1</v>
      </c>
    </row>
    <row r="57" spans="1:26" s="24" customFormat="1" hidden="1" outlineLevel="2" x14ac:dyDescent="0.25">
      <c r="A57" s="28"/>
      <c r="B57" s="11" t="str">
        <f>CONCATENATE("          ", "6274", " - ", "UTILITIES")</f>
        <v xml:space="preserve">          6274 - UTILITIES</v>
      </c>
      <c r="C57" s="11"/>
      <c r="D57" s="7"/>
      <c r="E57" s="2"/>
      <c r="F57" s="6">
        <f t="shared" si="54"/>
        <v>0</v>
      </c>
      <c r="G57" s="2"/>
      <c r="H57" s="7">
        <v>50</v>
      </c>
      <c r="I57" s="2"/>
      <c r="J57" s="6">
        <f t="shared" si="55"/>
        <v>2.8369277207555308E-2</v>
      </c>
      <c r="K57" s="2"/>
      <c r="L57" s="7">
        <f t="shared" si="56"/>
        <v>-50</v>
      </c>
      <c r="M57" s="2"/>
      <c r="N57" s="6">
        <f t="shared" si="57"/>
        <v>-1</v>
      </c>
      <c r="O57" s="11"/>
      <c r="P57" s="7"/>
      <c r="Q57" s="2"/>
      <c r="R57" s="6">
        <f t="shared" si="58"/>
        <v>0</v>
      </c>
      <c r="S57" s="2"/>
      <c r="T57" s="7">
        <v>150</v>
      </c>
      <c r="U57" s="2"/>
      <c r="V57" s="6">
        <f t="shared" si="59"/>
        <v>6.0570085646101099E-2</v>
      </c>
      <c r="W57" s="2"/>
      <c r="X57" s="7">
        <f t="shared" si="60"/>
        <v>-150</v>
      </c>
      <c r="Y57" s="2"/>
      <c r="Z57" s="6">
        <f t="shared" si="61"/>
        <v>-1</v>
      </c>
    </row>
    <row r="58" spans="1:26" s="54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6" t="s">
        <v>292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5" t="s">
        <v>276</v>
      </c>
      <c r="C61" s="25"/>
      <c r="D61" s="21">
        <f>+D19-D21+D59</f>
        <v>-1274.7300000000002</v>
      </c>
      <c r="E61" s="13"/>
      <c r="F61" s="22">
        <f>IF(D$12=0,0,D61/D$12)</f>
        <v>0</v>
      </c>
      <c r="G61" s="13"/>
      <c r="H61" s="21">
        <f>+H19-H21+H59</f>
        <v>-7432.2999999999993</v>
      </c>
      <c r="I61" s="13"/>
      <c r="J61" s="22">
        <f>IF(H$12=0,0,H61/H$12)</f>
        <v>-4.2169795797942662</v>
      </c>
      <c r="K61" s="16"/>
      <c r="L61" s="21">
        <f>+D61-H61</f>
        <v>6157.5699999999988</v>
      </c>
      <c r="M61" s="16"/>
      <c r="N61" s="22">
        <f>IF(H61=0,0,L61/H61)</f>
        <v>-0.82848781669200644</v>
      </c>
      <c r="O61" s="26"/>
      <c r="P61" s="21">
        <f>+P19-P21+P59</f>
        <v>-4772.8499999999995</v>
      </c>
      <c r="Q61" s="13"/>
      <c r="R61" s="22">
        <f>IF(P$12=0,0,P61/P$12)</f>
        <v>0</v>
      </c>
      <c r="S61" s="13"/>
      <c r="T61" s="21">
        <f>+T19-T21+T59</f>
        <v>-20579.84</v>
      </c>
      <c r="U61" s="13"/>
      <c r="V61" s="22">
        <f>IF(T$12=0,0,T61/T$12)</f>
        <v>-8.310151142553714</v>
      </c>
      <c r="W61" s="16"/>
      <c r="X61" s="21">
        <f>+P61-T61</f>
        <v>15806.990000000002</v>
      </c>
      <c r="Y61" s="16"/>
      <c r="Z61" s="22">
        <f>IF(T61=0,0,X61/T61)</f>
        <v>-0.76808128731807446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1"/>
      <c r="B63" s="10" t="s">
        <v>127</v>
      </c>
      <c r="C63" s="10"/>
      <c r="D63" s="4"/>
      <c r="E63" s="4"/>
      <c r="F63" s="12">
        <f>IF(D$12=0,0,D63/D$12)</f>
        <v>0</v>
      </c>
      <c r="G63" s="4"/>
      <c r="H63" s="4">
        <v>338.23</v>
      </c>
      <c r="I63" s="4"/>
      <c r="J63" s="12">
        <f>IF(H$12=0,0,H63/H$12)</f>
        <v>0.19190681259822864</v>
      </c>
      <c r="K63" s="4"/>
      <c r="L63" s="4">
        <f>+D63-H63</f>
        <v>-338.23</v>
      </c>
      <c r="M63" s="4"/>
      <c r="N63" s="12">
        <f>IF(H63=0,0,L63/H63)</f>
        <v>-1</v>
      </c>
      <c r="O63" s="10"/>
      <c r="P63" s="4"/>
      <c r="Q63" s="4"/>
      <c r="R63" s="12">
        <f>IF(P$12=0,0,P63/P$12)</f>
        <v>0</v>
      </c>
      <c r="S63" s="4"/>
      <c r="T63" s="4">
        <v>458.78</v>
      </c>
      <c r="U63" s="4"/>
      <c r="V63" s="12">
        <f>IF(T$12=0,0,T63/T$12)</f>
        <v>0.18525562595145506</v>
      </c>
      <c r="W63" s="4"/>
      <c r="X63" s="4">
        <f>+P63-T63</f>
        <v>-458.78</v>
      </c>
      <c r="Y63" s="4"/>
      <c r="Z63" s="12">
        <f>IF(T63=0,0,X63/T63)</f>
        <v>-1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5" t="s">
        <v>125</v>
      </c>
      <c r="C65" s="25"/>
      <c r="D65" s="33">
        <f>+D61-D63</f>
        <v>-1274.7300000000002</v>
      </c>
      <c r="E65" s="13"/>
      <c r="F65" s="35">
        <f>IF(D$12=0,0,D65/D$12)</f>
        <v>0</v>
      </c>
      <c r="G65" s="13"/>
      <c r="H65" s="33">
        <f>+H61-H63</f>
        <v>-7770.5299999999988</v>
      </c>
      <c r="I65" s="13"/>
      <c r="J65" s="35">
        <f>IF(H$12=0,0,H65/H$12)</f>
        <v>-4.4088863923924944</v>
      </c>
      <c r="K65" s="16"/>
      <c r="L65" s="33">
        <f>D65-H65</f>
        <v>6495.7999999999984</v>
      </c>
      <c r="M65" s="16"/>
      <c r="N65" s="35">
        <f>IF(H65=0,0,L65/H65)</f>
        <v>-0.83595327474445102</v>
      </c>
      <c r="O65" s="26"/>
      <c r="P65" s="33">
        <f>+P61-P63</f>
        <v>-4772.8499999999995</v>
      </c>
      <c r="Q65" s="13"/>
      <c r="R65" s="35">
        <f>IF(P$12=0,0,P65/P$12)</f>
        <v>0</v>
      </c>
      <c r="S65" s="13"/>
      <c r="T65" s="33">
        <f>+T61-T63</f>
        <v>-21038.62</v>
      </c>
      <c r="U65" s="13"/>
      <c r="V65" s="35">
        <f>IF(T$12=0,0,T65/T$12)</f>
        <v>-8.4954067685051697</v>
      </c>
      <c r="W65" s="16"/>
      <c r="X65" s="33">
        <f>P65-T65</f>
        <v>16265.77</v>
      </c>
      <c r="Y65" s="16"/>
      <c r="Z65" s="35">
        <f>IF(T65=0,0,X65/T65)</f>
        <v>-0.773138637420135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5" t="s">
        <v>293</v>
      </c>
      <c r="C68" s="25"/>
      <c r="D68" s="31">
        <f>SUM(D65:D67)</f>
        <v>-1274.7300000000002</v>
      </c>
      <c r="E68" s="13"/>
      <c r="F68" s="32">
        <f>IF(D$12=0,0,D68/D$12)</f>
        <v>0</v>
      </c>
      <c r="G68" s="13"/>
      <c r="H68" s="31">
        <f>SUM(H65:H67)</f>
        <v>-7770.5299999999988</v>
      </c>
      <c r="I68" s="13"/>
      <c r="J68" s="32">
        <f>IF(H$12=0,0,H68/H$12)</f>
        <v>-4.4088863923924944</v>
      </c>
      <c r="K68" s="16"/>
      <c r="L68" s="31">
        <f>+D68-H68</f>
        <v>6495.7999999999984</v>
      </c>
      <c r="M68" s="16"/>
      <c r="N68" s="32">
        <f>IF(H68=0,0,L68/H68)</f>
        <v>-0.83595327474445102</v>
      </c>
      <c r="O68" s="26"/>
      <c r="P68" s="31">
        <f>SUM(P65:P67)</f>
        <v>-4772.8499999999995</v>
      </c>
      <c r="Q68" s="13"/>
      <c r="R68" s="32">
        <f>IF(P$12=0,0,P68/P$12)</f>
        <v>0</v>
      </c>
      <c r="S68" s="13"/>
      <c r="T68" s="31">
        <f>SUM(T65:T67)</f>
        <v>-21038.62</v>
      </c>
      <c r="U68" s="13"/>
      <c r="V68" s="32">
        <f>IF(T$12=0,0,T68/T$12)</f>
        <v>-8.4954067685051697</v>
      </c>
      <c r="W68" s="16"/>
      <c r="X68" s="31">
        <f>+P68-T68</f>
        <v>16265.77</v>
      </c>
      <c r="Y68" s="16"/>
      <c r="Z68" s="32">
        <f>IF(T68=0,0,X68/T68)</f>
        <v>-0.773138637420135</v>
      </c>
    </row>
    <row r="69" spans="1:26" ht="15.75" thickTop="1" x14ac:dyDescent="0.25">
      <c r="A69" s="9"/>
      <c r="C69" s="9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A70" s="9"/>
      <c r="B70" s="58">
        <v>44481.985668518515</v>
      </c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3" t="s">
        <v>56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2"/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</sheetPr>
  <dimension ref="A2:Z5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","322", " - ", "Beach Hut")</f>
        <v>Department 322 - Beach Hut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6" t="s">
        <v>256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-1222.33</v>
      </c>
      <c r="U14" s="4"/>
      <c r="V14" s="12">
        <f t="shared" ref="V14:V15" si="5">IF(T$12=0,0,T14/T$12)</f>
        <v>0</v>
      </c>
      <c r="W14" s="4"/>
      <c r="X14" s="4">
        <f t="shared" ref="X14:X15" si="6">+P14-T14</f>
        <v>1222.33</v>
      </c>
      <c r="Y14" s="4"/>
      <c r="Z14" s="12">
        <f t="shared" ref="Z14:Z15" si="7">IF(T14=0,0,X14/T14)</f>
        <v>-1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/>
      <c r="Q15" s="2"/>
      <c r="R15" s="19">
        <f t="shared" si="4"/>
        <v>0</v>
      </c>
      <c r="S15" s="2"/>
      <c r="T15" s="2">
        <v>-1222.33</v>
      </c>
      <c r="U15" s="2"/>
      <c r="V15" s="19">
        <f t="shared" si="5"/>
        <v>0</v>
      </c>
      <c r="W15" s="2"/>
      <c r="X15" s="2">
        <f t="shared" si="6"/>
        <v>1222.33</v>
      </c>
      <c r="Y15" s="2"/>
      <c r="Z15" s="19">
        <f t="shared" si="7"/>
        <v>-1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107</v>
      </c>
      <c r="C17" s="25"/>
      <c r="D17" s="21">
        <f>D12-D14</f>
        <v>0</v>
      </c>
      <c r="E17" s="13"/>
      <c r="F17" s="22">
        <f>IF(D$12=0,0,D17/D$12)</f>
        <v>0</v>
      </c>
      <c r="G17" s="13"/>
      <c r="H17" s="21">
        <f>H12-H14</f>
        <v>0</v>
      </c>
      <c r="I17" s="13"/>
      <c r="J17" s="22">
        <f>IF(H$12=0,0,H17/H$12)</f>
        <v>0</v>
      </c>
      <c r="K17" s="16"/>
      <c r="L17" s="21">
        <f>+D17-H17</f>
        <v>0</v>
      </c>
      <c r="M17" s="16"/>
      <c r="N17" s="22">
        <f>IF(H17=0,0,L17/H17)</f>
        <v>0</v>
      </c>
      <c r="O17" s="26"/>
      <c r="P17" s="21">
        <f>P12-P14</f>
        <v>0</v>
      </c>
      <c r="Q17" s="13"/>
      <c r="R17" s="22">
        <f>IF(P$12=0,0,P17/P$12)</f>
        <v>0</v>
      </c>
      <c r="S17" s="13"/>
      <c r="T17" s="21">
        <f>T12-T14</f>
        <v>1222.33</v>
      </c>
      <c r="U17" s="13"/>
      <c r="V17" s="22">
        <f>IF(T$12=0,0,T17/T$12)</f>
        <v>0</v>
      </c>
      <c r="W17" s="16"/>
      <c r="X17" s="21">
        <f>+P17-T17</f>
        <v>-1222.33</v>
      </c>
      <c r="Y17" s="16"/>
      <c r="Z17" s="22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294</v>
      </c>
      <c r="C19" s="10"/>
      <c r="D19" s="20">
        <f>SUM(OSRRefD22x_0)</f>
        <v>71.86</v>
      </c>
      <c r="E19" s="20"/>
      <c r="F19" s="30">
        <f t="shared" ref="F19:F25" si="8">IF(D$12=0,0,D19/D$12)</f>
        <v>0</v>
      </c>
      <c r="G19" s="20"/>
      <c r="H19" s="20">
        <f>SUM(OSRRefH22x_0)</f>
        <v>2179.67</v>
      </c>
      <c r="I19" s="20"/>
      <c r="J19" s="30">
        <f t="shared" ref="J19:J25" si="9">IF(H$12=0,0,H19/H$12)</f>
        <v>0</v>
      </c>
      <c r="K19" s="4"/>
      <c r="L19" s="20">
        <f t="shared" ref="L19:L25" si="10">+D19-H19</f>
        <v>-2107.81</v>
      </c>
      <c r="M19" s="4"/>
      <c r="N19" s="30">
        <f t="shared" ref="N19:N25" si="11">IF(H19=0,0,L19/H19)</f>
        <v>-0.96703170663449045</v>
      </c>
      <c r="O19" s="10"/>
      <c r="P19" s="20">
        <f>SUM(OSRRefP22x_0)</f>
        <v>71.86</v>
      </c>
      <c r="Q19" s="20"/>
      <c r="R19" s="30">
        <f t="shared" ref="R19:R25" si="12">IF(P$12=0,0,P19/P$12)</f>
        <v>0</v>
      </c>
      <c r="S19" s="20"/>
      <c r="T19" s="20">
        <f>SUM(OSRRefT22x_0)</f>
        <v>9028.7199999999993</v>
      </c>
      <c r="U19" s="20"/>
      <c r="V19" s="30">
        <f t="shared" ref="V19:V25" si="13">IF(T$12=0,0,T19/T$12)</f>
        <v>0</v>
      </c>
      <c r="W19" s="4"/>
      <c r="X19" s="20">
        <f t="shared" ref="X19:X25" si="14">+P19-T19</f>
        <v>-8956.8599999999988</v>
      </c>
      <c r="Y19" s="4"/>
      <c r="Z19" s="30">
        <f t="shared" ref="Z19:Z25" si="15">IF(T19=0,0,X19/T19)</f>
        <v>-0.99204095375645707</v>
      </c>
    </row>
    <row r="20" spans="1:26" s="27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0</v>
      </c>
      <c r="M20" s="1"/>
      <c r="N20" s="5">
        <f t="shared" si="11"/>
        <v>0</v>
      </c>
      <c r="O20" s="14"/>
      <c r="P20" s="1">
        <f>SUM(OSRRefP22_0x_0)</f>
        <v>0</v>
      </c>
      <c r="Q20" s="1"/>
      <c r="R20" s="5">
        <f t="shared" si="12"/>
        <v>0</v>
      </c>
      <c r="S20" s="1"/>
      <c r="T20" s="1">
        <f>SUM(OSRRefT22_0x_0)</f>
        <v>1595.9699999999998</v>
      </c>
      <c r="U20" s="1"/>
      <c r="V20" s="5">
        <f t="shared" si="13"/>
        <v>0</v>
      </c>
      <c r="W20" s="1"/>
      <c r="X20" s="1">
        <f t="shared" si="14"/>
        <v>-1595.9699999999998</v>
      </c>
      <c r="Y20" s="1"/>
      <c r="Z20" s="5">
        <f t="shared" si="15"/>
        <v>-1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7"/>
      <c r="E21" s="2"/>
      <c r="F21" s="6">
        <f t="shared" si="8"/>
        <v>0</v>
      </c>
      <c r="G21" s="2"/>
      <c r="H21" s="7"/>
      <c r="I21" s="2"/>
      <c r="J21" s="6">
        <f t="shared" si="9"/>
        <v>0</v>
      </c>
      <c r="K21" s="2"/>
      <c r="L21" s="7">
        <f t="shared" si="10"/>
        <v>0</v>
      </c>
      <c r="M21" s="2"/>
      <c r="N21" s="6">
        <f t="shared" si="11"/>
        <v>0</v>
      </c>
      <c r="O21" s="11"/>
      <c r="P21" s="7"/>
      <c r="Q21" s="2"/>
      <c r="R21" s="6">
        <f t="shared" si="12"/>
        <v>0</v>
      </c>
      <c r="S21" s="2"/>
      <c r="T21" s="7">
        <v>159.12</v>
      </c>
      <c r="U21" s="2"/>
      <c r="V21" s="6">
        <f t="shared" si="13"/>
        <v>0</v>
      </c>
      <c r="W21" s="2"/>
      <c r="X21" s="7">
        <f t="shared" si="14"/>
        <v>-159.12</v>
      </c>
      <c r="Y21" s="2"/>
      <c r="Z21" s="6">
        <f t="shared" si="15"/>
        <v>-1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8"/>
        <v>0</v>
      </c>
      <c r="G22" s="2"/>
      <c r="H22" s="7"/>
      <c r="I22" s="2"/>
      <c r="J22" s="6">
        <f t="shared" si="9"/>
        <v>0</v>
      </c>
      <c r="K22" s="2"/>
      <c r="L22" s="7">
        <f t="shared" si="10"/>
        <v>0</v>
      </c>
      <c r="M22" s="2"/>
      <c r="N22" s="6">
        <f t="shared" si="11"/>
        <v>0</v>
      </c>
      <c r="O22" s="11"/>
      <c r="P22" s="7"/>
      <c r="Q22" s="2"/>
      <c r="R22" s="6">
        <f t="shared" si="12"/>
        <v>0</v>
      </c>
      <c r="S22" s="2"/>
      <c r="T22" s="7">
        <v>683.68</v>
      </c>
      <c r="U22" s="2"/>
      <c r="V22" s="6">
        <f t="shared" si="13"/>
        <v>0</v>
      </c>
      <c r="W22" s="2"/>
      <c r="X22" s="7">
        <f t="shared" si="14"/>
        <v>-683.68</v>
      </c>
      <c r="Y22" s="2"/>
      <c r="Z22" s="6">
        <f t="shared" si="15"/>
        <v>-1</v>
      </c>
    </row>
    <row r="23" spans="1:26" s="24" customFormat="1" hidden="1" outlineLevel="2" x14ac:dyDescent="0.25">
      <c r="A23" s="28"/>
      <c r="B23" s="11" t="str">
        <f>CONCATENATE("          ", "6115", " - ", "P.E.R.S.")</f>
        <v xml:space="preserve">          6115 - P.E.R.S.</v>
      </c>
      <c r="C23" s="11"/>
      <c r="D23" s="7"/>
      <c r="E23" s="2"/>
      <c r="F23" s="6">
        <f t="shared" si="8"/>
        <v>0</v>
      </c>
      <c r="G23" s="2"/>
      <c r="H23" s="7"/>
      <c r="I23" s="2"/>
      <c r="J23" s="6">
        <f t="shared" si="9"/>
        <v>0</v>
      </c>
      <c r="K23" s="2"/>
      <c r="L23" s="7">
        <f t="shared" si="10"/>
        <v>0</v>
      </c>
      <c r="M23" s="2"/>
      <c r="N23" s="6">
        <f t="shared" si="11"/>
        <v>0</v>
      </c>
      <c r="O23" s="11"/>
      <c r="P23" s="7"/>
      <c r="Q23" s="2"/>
      <c r="R23" s="6">
        <f t="shared" si="12"/>
        <v>0</v>
      </c>
      <c r="S23" s="2"/>
      <c r="T23" s="7">
        <v>321.57</v>
      </c>
      <c r="U23" s="2"/>
      <c r="V23" s="6">
        <f t="shared" si="13"/>
        <v>0</v>
      </c>
      <c r="W23" s="2"/>
      <c r="X23" s="7">
        <f t="shared" si="14"/>
        <v>-321.57</v>
      </c>
      <c r="Y23" s="2"/>
      <c r="Z23" s="6">
        <f t="shared" si="15"/>
        <v>-1</v>
      </c>
    </row>
    <row r="24" spans="1:26" s="24" customFormat="1" hidden="1" outlineLevel="2" x14ac:dyDescent="0.25">
      <c r="A24" s="28"/>
      <c r="B24" s="11" t="str">
        <f>CONCATENATE("          ", "6118", " - ", "VACATION")</f>
        <v xml:space="preserve">          6118 - VACATION</v>
      </c>
      <c r="C24" s="11"/>
      <c r="D24" s="7"/>
      <c r="E24" s="2"/>
      <c r="F24" s="6">
        <f t="shared" si="8"/>
        <v>0</v>
      </c>
      <c r="G24" s="2"/>
      <c r="H24" s="7"/>
      <c r="I24" s="2"/>
      <c r="J24" s="6">
        <f t="shared" si="9"/>
        <v>0</v>
      </c>
      <c r="K24" s="2"/>
      <c r="L24" s="7">
        <f t="shared" si="10"/>
        <v>0</v>
      </c>
      <c r="M24" s="2"/>
      <c r="N24" s="6">
        <f t="shared" si="11"/>
        <v>0</v>
      </c>
      <c r="O24" s="11"/>
      <c r="P24" s="7"/>
      <c r="Q24" s="2"/>
      <c r="R24" s="6">
        <f t="shared" si="12"/>
        <v>0</v>
      </c>
      <c r="S24" s="2"/>
      <c r="T24" s="7">
        <v>239.72</v>
      </c>
      <c r="U24" s="2"/>
      <c r="V24" s="6">
        <f t="shared" si="13"/>
        <v>0</v>
      </c>
      <c r="W24" s="2"/>
      <c r="X24" s="7">
        <f t="shared" si="14"/>
        <v>-239.72</v>
      </c>
      <c r="Y24" s="2"/>
      <c r="Z24" s="6">
        <f t="shared" si="15"/>
        <v>-1</v>
      </c>
    </row>
    <row r="25" spans="1:26" s="24" customFormat="1" hidden="1" outlineLevel="2" x14ac:dyDescent="0.25">
      <c r="A25" s="28"/>
      <c r="B25" s="11" t="str">
        <f>CONCATENATE("          ", "6119", " - ", "SICK LEAVE")</f>
        <v xml:space="preserve">          6119 - SICK LEAVE</v>
      </c>
      <c r="C25" s="11"/>
      <c r="D25" s="7"/>
      <c r="E25" s="2"/>
      <c r="F25" s="6">
        <f t="shared" si="8"/>
        <v>0</v>
      </c>
      <c r="G25" s="2"/>
      <c r="H25" s="7"/>
      <c r="I25" s="2"/>
      <c r="J25" s="6">
        <f t="shared" si="9"/>
        <v>0</v>
      </c>
      <c r="K25" s="2"/>
      <c r="L25" s="7">
        <f t="shared" si="10"/>
        <v>0</v>
      </c>
      <c r="M25" s="2"/>
      <c r="N25" s="6">
        <f t="shared" si="11"/>
        <v>0</v>
      </c>
      <c r="O25" s="11"/>
      <c r="P25" s="7"/>
      <c r="Q25" s="2"/>
      <c r="R25" s="6">
        <f t="shared" si="12"/>
        <v>0</v>
      </c>
      <c r="S25" s="2"/>
      <c r="T25" s="7">
        <v>191.88</v>
      </c>
      <c r="U25" s="2"/>
      <c r="V25" s="6">
        <f t="shared" si="13"/>
        <v>0</v>
      </c>
      <c r="W25" s="2"/>
      <c r="X25" s="7">
        <f t="shared" si="14"/>
        <v>-191.88</v>
      </c>
      <c r="Y25" s="2"/>
      <c r="Z25" s="6">
        <f t="shared" si="15"/>
        <v>-1</v>
      </c>
    </row>
    <row r="26" spans="1:26" s="27" customFormat="1" outlineLevel="1" collapsed="1" x14ac:dyDescent="0.25">
      <c r="A26" s="29"/>
      <c r="B26" s="14" t="str">
        <f>CONCATENATE("     ","*Payroll                                          ")</f>
        <v xml:space="preserve">     *Payroll                                          </v>
      </c>
      <c r="C26" s="14"/>
      <c r="D26" s="1">
        <f>SUM(OSRRefD22_1x_0)</f>
        <v>0</v>
      </c>
      <c r="E26" s="1"/>
      <c r="F26" s="5">
        <f t="shared" ref="F26:F34" si="16">IF(D$12=0,0,D26/D$12)</f>
        <v>0</v>
      </c>
      <c r="G26" s="1"/>
      <c r="H26" s="1">
        <f>SUM(OSRRefH22_1x_0)</f>
        <v>0</v>
      </c>
      <c r="I26" s="1"/>
      <c r="J26" s="5">
        <f t="shared" ref="J26:J34" si="17">IF(H$12=0,0,H26/H$12)</f>
        <v>0</v>
      </c>
      <c r="K26" s="1"/>
      <c r="L26" s="1">
        <f t="shared" ref="L26:L34" si="18">+D26-H26</f>
        <v>0</v>
      </c>
      <c r="M26" s="1"/>
      <c r="N26" s="5">
        <f t="shared" ref="N26:N34" si="19">IF(H26=0,0,L26/H26)</f>
        <v>0</v>
      </c>
      <c r="O26" s="14"/>
      <c r="P26" s="1">
        <f>SUM(OSRRefP22_1x_0)</f>
        <v>0</v>
      </c>
      <c r="Q26" s="1"/>
      <c r="R26" s="5">
        <f t="shared" ref="R26:R34" si="20">IF(P$12=0,0,P26/P$12)</f>
        <v>0</v>
      </c>
      <c r="S26" s="1"/>
      <c r="T26" s="1">
        <f>SUM(OSRRefT22_1x_0)</f>
        <v>2080</v>
      </c>
      <c r="U26" s="1"/>
      <c r="V26" s="5">
        <f t="shared" ref="V26:V34" si="21">IF(T$12=0,0,T26/T$12)</f>
        <v>0</v>
      </c>
      <c r="W26" s="1"/>
      <c r="X26" s="1">
        <f t="shared" ref="X26:X34" si="22">+P26-T26</f>
        <v>-2080</v>
      </c>
      <c r="Y26" s="1"/>
      <c r="Z26" s="5">
        <f t="shared" ref="Z26:Z34" si="23">IF(T26=0,0,X26/T26)</f>
        <v>-1</v>
      </c>
    </row>
    <row r="27" spans="1:26" s="24" customFormat="1" hidden="1" outlineLevel="2" x14ac:dyDescent="0.25">
      <c r="A27" s="28"/>
      <c r="B27" s="11" t="str">
        <f>CONCATENATE("          ", "6002", " - ", "STAFF SALARIES")</f>
        <v xml:space="preserve">          6002 - STAFF SALARIES</v>
      </c>
      <c r="C27" s="11"/>
      <c r="D27" s="7"/>
      <c r="E27" s="2"/>
      <c r="F27" s="6">
        <f t="shared" si="16"/>
        <v>0</v>
      </c>
      <c r="G27" s="2"/>
      <c r="H27" s="7"/>
      <c r="I27" s="2"/>
      <c r="J27" s="6">
        <f t="shared" si="17"/>
        <v>0</v>
      </c>
      <c r="K27" s="2"/>
      <c r="L27" s="7">
        <f t="shared" si="18"/>
        <v>0</v>
      </c>
      <c r="M27" s="2"/>
      <c r="N27" s="6">
        <f t="shared" si="19"/>
        <v>0</v>
      </c>
      <c r="O27" s="11"/>
      <c r="P27" s="7"/>
      <c r="Q27" s="2"/>
      <c r="R27" s="6">
        <f t="shared" si="20"/>
        <v>0</v>
      </c>
      <c r="S27" s="2"/>
      <c r="T27" s="7">
        <v>2080</v>
      </c>
      <c r="U27" s="2"/>
      <c r="V27" s="6">
        <f t="shared" si="21"/>
        <v>0</v>
      </c>
      <c r="W27" s="2"/>
      <c r="X27" s="7">
        <f t="shared" si="22"/>
        <v>-2080</v>
      </c>
      <c r="Y27" s="2"/>
      <c r="Z27" s="6">
        <f t="shared" si="23"/>
        <v>-1</v>
      </c>
    </row>
    <row r="28" spans="1:26" s="27" customFormat="1" outlineLevel="1" collapsed="1" x14ac:dyDescent="0.25">
      <c r="A28" s="29"/>
      <c r="B28" s="14" t="str">
        <f>CONCATENATE("     ","Depreciation                                      ")</f>
        <v xml:space="preserve">     Depreciation                                      </v>
      </c>
      <c r="C28" s="14"/>
      <c r="D28" s="1">
        <f>SUM(OSRRefD22_2x_0)</f>
        <v>0</v>
      </c>
      <c r="E28" s="1"/>
      <c r="F28" s="5">
        <f t="shared" si="16"/>
        <v>0</v>
      </c>
      <c r="G28" s="1"/>
      <c r="H28" s="1">
        <f>SUM(OSRRefH22_2x_0)</f>
        <v>2017.34</v>
      </c>
      <c r="I28" s="1"/>
      <c r="J28" s="5">
        <f t="shared" si="17"/>
        <v>0</v>
      </c>
      <c r="K28" s="1"/>
      <c r="L28" s="1">
        <f t="shared" si="18"/>
        <v>-2017.34</v>
      </c>
      <c r="M28" s="1"/>
      <c r="N28" s="5">
        <f t="shared" si="19"/>
        <v>-1</v>
      </c>
      <c r="O28" s="14"/>
      <c r="P28" s="1">
        <f>SUM(OSRRefP22_2x_0)</f>
        <v>0</v>
      </c>
      <c r="Q28" s="1"/>
      <c r="R28" s="5">
        <f t="shared" si="20"/>
        <v>0</v>
      </c>
      <c r="S28" s="1"/>
      <c r="T28" s="1">
        <f>SUM(OSRRefT22_2x_0)</f>
        <v>6052.02</v>
      </c>
      <c r="U28" s="1"/>
      <c r="V28" s="5">
        <f t="shared" si="21"/>
        <v>0</v>
      </c>
      <c r="W28" s="1"/>
      <c r="X28" s="1">
        <f t="shared" si="22"/>
        <v>-6052.02</v>
      </c>
      <c r="Y28" s="1"/>
      <c r="Z28" s="5">
        <f t="shared" si="23"/>
        <v>-1</v>
      </c>
    </row>
    <row r="29" spans="1:26" s="24" customFormat="1" hidden="1" outlineLevel="2" x14ac:dyDescent="0.25">
      <c r="A29" s="28"/>
      <c r="B29" s="11" t="str">
        <f>CONCATENATE("          ", "6322", " - ", "EQUIPMENT DEPRECIATION EXPENSE")</f>
        <v xml:space="preserve">          6322 - EQUIPMENT DEPRECIATION EXPENSE</v>
      </c>
      <c r="C29" s="11"/>
      <c r="D29" s="7"/>
      <c r="E29" s="2"/>
      <c r="F29" s="6">
        <f t="shared" si="16"/>
        <v>0</v>
      </c>
      <c r="G29" s="2"/>
      <c r="H29" s="7">
        <v>2017.34</v>
      </c>
      <c r="I29" s="2"/>
      <c r="J29" s="6">
        <f t="shared" si="17"/>
        <v>0</v>
      </c>
      <c r="K29" s="2"/>
      <c r="L29" s="7">
        <f t="shared" si="18"/>
        <v>-2017.34</v>
      </c>
      <c r="M29" s="2"/>
      <c r="N29" s="6">
        <f t="shared" si="19"/>
        <v>-1</v>
      </c>
      <c r="O29" s="11"/>
      <c r="P29" s="7"/>
      <c r="Q29" s="2"/>
      <c r="R29" s="6">
        <f t="shared" si="20"/>
        <v>0</v>
      </c>
      <c r="S29" s="2"/>
      <c r="T29" s="7">
        <v>6052.02</v>
      </c>
      <c r="U29" s="2"/>
      <c r="V29" s="6">
        <f t="shared" si="21"/>
        <v>0</v>
      </c>
      <c r="W29" s="2"/>
      <c r="X29" s="7">
        <f t="shared" si="22"/>
        <v>-6052.02</v>
      </c>
      <c r="Y29" s="2"/>
      <c r="Z29" s="6">
        <f t="shared" si="23"/>
        <v>-1</v>
      </c>
    </row>
    <row r="30" spans="1:26" s="27" customFormat="1" outlineLevel="1" collapsed="1" x14ac:dyDescent="0.25">
      <c r="A30" s="29"/>
      <c r="B30" s="14" t="str">
        <f>CONCATENATE("     ","Repair and Maintenance                            ")</f>
        <v xml:space="preserve">     Repair and Maintenance                            </v>
      </c>
      <c r="C30" s="14"/>
      <c r="D30" s="1">
        <f>SUM(OSRRefD22_3x_0)</f>
        <v>71.86</v>
      </c>
      <c r="E30" s="1"/>
      <c r="F30" s="5">
        <f t="shared" si="16"/>
        <v>0</v>
      </c>
      <c r="G30" s="1"/>
      <c r="H30" s="1">
        <f>SUM(OSRRefH22_3x_0)</f>
        <v>72.349999999999994</v>
      </c>
      <c r="I30" s="1"/>
      <c r="J30" s="5">
        <f t="shared" si="17"/>
        <v>0</v>
      </c>
      <c r="K30" s="1"/>
      <c r="L30" s="1">
        <f t="shared" si="18"/>
        <v>-0.48999999999999488</v>
      </c>
      <c r="M30" s="1"/>
      <c r="N30" s="5">
        <f t="shared" si="19"/>
        <v>-6.7726330338630947E-3</v>
      </c>
      <c r="O30" s="14"/>
      <c r="P30" s="1">
        <f>SUM(OSRRefP22_3x_0)</f>
        <v>71.86</v>
      </c>
      <c r="Q30" s="1"/>
      <c r="R30" s="5">
        <f t="shared" si="20"/>
        <v>0</v>
      </c>
      <c r="S30" s="1"/>
      <c r="T30" s="1">
        <f>SUM(OSRRefT22_3x_0)</f>
        <v>150.94999999999999</v>
      </c>
      <c r="U30" s="1"/>
      <c r="V30" s="5">
        <f t="shared" si="21"/>
        <v>0</v>
      </c>
      <c r="W30" s="1"/>
      <c r="X30" s="1">
        <f t="shared" si="22"/>
        <v>-79.089999999999989</v>
      </c>
      <c r="Y30" s="1"/>
      <c r="Z30" s="5">
        <f t="shared" si="23"/>
        <v>-0.5239483272606823</v>
      </c>
    </row>
    <row r="31" spans="1:26" s="24" customFormat="1" hidden="1" outlineLevel="2" x14ac:dyDescent="0.25">
      <c r="A31" s="28"/>
      <c r="B31" s="11" t="str">
        <f>CONCATENATE("          ", "6373", " - ", "MAINTENANCE CONTRACTS")</f>
        <v xml:space="preserve">          6373 - MAINTENANCE CONTRACTS</v>
      </c>
      <c r="C31" s="11"/>
      <c r="D31" s="7">
        <v>71.86</v>
      </c>
      <c r="E31" s="2"/>
      <c r="F31" s="6">
        <f t="shared" si="16"/>
        <v>0</v>
      </c>
      <c r="G31" s="2"/>
      <c r="H31" s="7">
        <v>72.349999999999994</v>
      </c>
      <c r="I31" s="2"/>
      <c r="J31" s="6">
        <f t="shared" si="17"/>
        <v>0</v>
      </c>
      <c r="K31" s="2"/>
      <c r="L31" s="7">
        <f t="shared" si="18"/>
        <v>-0.48999999999999488</v>
      </c>
      <c r="M31" s="2"/>
      <c r="N31" s="6">
        <f t="shared" si="19"/>
        <v>-6.7726330338630947E-3</v>
      </c>
      <c r="O31" s="11"/>
      <c r="P31" s="7">
        <v>71.86</v>
      </c>
      <c r="Q31" s="2"/>
      <c r="R31" s="6">
        <f t="shared" si="20"/>
        <v>0</v>
      </c>
      <c r="S31" s="2"/>
      <c r="T31" s="7">
        <v>150.94999999999999</v>
      </c>
      <c r="U31" s="2"/>
      <c r="V31" s="6">
        <f t="shared" si="21"/>
        <v>0</v>
      </c>
      <c r="W31" s="2"/>
      <c r="X31" s="7">
        <f t="shared" si="22"/>
        <v>-79.089999999999989</v>
      </c>
      <c r="Y31" s="2"/>
      <c r="Z31" s="6">
        <f t="shared" si="23"/>
        <v>-0.5239483272606823</v>
      </c>
    </row>
    <row r="32" spans="1:26" s="27" customFormat="1" outlineLevel="1" collapsed="1" x14ac:dyDescent="0.25">
      <c r="A32" s="29"/>
      <c r="B32" s="14" t="str">
        <f>CONCATENATE("     ","Services                                          ")</f>
        <v xml:space="preserve">     Services                                          </v>
      </c>
      <c r="C32" s="14"/>
      <c r="D32" s="1">
        <f>SUM(OSRRefD22_4x_0)</f>
        <v>0</v>
      </c>
      <c r="E32" s="1"/>
      <c r="F32" s="5">
        <f t="shared" si="16"/>
        <v>0</v>
      </c>
      <c r="G32" s="1"/>
      <c r="H32" s="1">
        <f>SUM(OSRRefH22_4x_0)</f>
        <v>0</v>
      </c>
      <c r="I32" s="1"/>
      <c r="J32" s="5">
        <f t="shared" si="17"/>
        <v>0</v>
      </c>
      <c r="K32" s="1"/>
      <c r="L32" s="1">
        <f t="shared" si="18"/>
        <v>0</v>
      </c>
      <c r="M32" s="1"/>
      <c r="N32" s="5">
        <f t="shared" si="19"/>
        <v>0</v>
      </c>
      <c r="O32" s="14"/>
      <c r="P32" s="1">
        <f>SUM(OSRRefP22_4x_0)</f>
        <v>0</v>
      </c>
      <c r="Q32" s="1"/>
      <c r="R32" s="5">
        <f t="shared" si="20"/>
        <v>0</v>
      </c>
      <c r="S32" s="1"/>
      <c r="T32" s="1">
        <f>SUM(OSRRefT22_4x_0)</f>
        <v>-1053.52</v>
      </c>
      <c r="U32" s="1"/>
      <c r="V32" s="5">
        <f t="shared" si="21"/>
        <v>0</v>
      </c>
      <c r="W32" s="1"/>
      <c r="X32" s="1">
        <f t="shared" si="22"/>
        <v>1053.52</v>
      </c>
      <c r="Y32" s="1"/>
      <c r="Z32" s="5">
        <f t="shared" si="23"/>
        <v>-1</v>
      </c>
    </row>
    <row r="33" spans="1:26" s="24" customFormat="1" hidden="1" outlineLevel="2" x14ac:dyDescent="0.25">
      <c r="A33" s="28"/>
      <c r="B33" s="11" t="str">
        <f>CONCATENATE("          ", "6282", " - ", "JANITORIAL/EXTERMINATOR EXPENS")</f>
        <v xml:space="preserve">          6282 - JANITORIAL/EXTERMINATOR EXPENS</v>
      </c>
      <c r="C33" s="11"/>
      <c r="D33" s="7"/>
      <c r="E33" s="2"/>
      <c r="F33" s="6">
        <f t="shared" si="16"/>
        <v>0</v>
      </c>
      <c r="G33" s="2"/>
      <c r="H33" s="7"/>
      <c r="I33" s="2"/>
      <c r="J33" s="6">
        <f t="shared" si="17"/>
        <v>0</v>
      </c>
      <c r="K33" s="2"/>
      <c r="L33" s="7">
        <f t="shared" si="18"/>
        <v>0</v>
      </c>
      <c r="M33" s="2"/>
      <c r="N33" s="6">
        <f t="shared" si="19"/>
        <v>0</v>
      </c>
      <c r="O33" s="11"/>
      <c r="P33" s="7"/>
      <c r="Q33" s="2"/>
      <c r="R33" s="6">
        <f t="shared" si="20"/>
        <v>0</v>
      </c>
      <c r="S33" s="2"/>
      <c r="T33" s="7">
        <v>-567.28</v>
      </c>
      <c r="U33" s="2"/>
      <c r="V33" s="6">
        <f t="shared" si="21"/>
        <v>0</v>
      </c>
      <c r="W33" s="2"/>
      <c r="X33" s="7">
        <f t="shared" si="22"/>
        <v>567.28</v>
      </c>
      <c r="Y33" s="2"/>
      <c r="Z33" s="6">
        <f t="shared" si="23"/>
        <v>-1</v>
      </c>
    </row>
    <row r="34" spans="1:26" s="24" customFormat="1" hidden="1" outlineLevel="2" x14ac:dyDescent="0.25">
      <c r="A34" s="28"/>
      <c r="B34" s="11" t="str">
        <f>CONCATENATE("          ", "6285", " - ", "JANITORIAL SERVICES")</f>
        <v xml:space="preserve">          6285 - JANITORIAL SERVICES</v>
      </c>
      <c r="C34" s="11"/>
      <c r="D34" s="7"/>
      <c r="E34" s="2"/>
      <c r="F34" s="6">
        <f t="shared" si="16"/>
        <v>0</v>
      </c>
      <c r="G34" s="2"/>
      <c r="H34" s="7"/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/>
      <c r="Q34" s="2"/>
      <c r="R34" s="6">
        <f t="shared" si="20"/>
        <v>0</v>
      </c>
      <c r="S34" s="2"/>
      <c r="T34" s="7">
        <v>-486.24</v>
      </c>
      <c r="U34" s="2"/>
      <c r="V34" s="6">
        <f t="shared" si="21"/>
        <v>0</v>
      </c>
      <c r="W34" s="2"/>
      <c r="X34" s="7">
        <f t="shared" si="22"/>
        <v>486.24</v>
      </c>
      <c r="Y34" s="2"/>
      <c r="Z34" s="6">
        <f t="shared" si="23"/>
        <v>-1</v>
      </c>
    </row>
    <row r="35" spans="1:26" s="27" customFormat="1" outlineLevel="1" collapsed="1" x14ac:dyDescent="0.25">
      <c r="A35" s="29"/>
      <c r="B35" s="14" t="str">
        <f>CONCATENATE("     ","Supplies                                          ")</f>
        <v xml:space="preserve">     Supplies                                          </v>
      </c>
      <c r="C35" s="14"/>
      <c r="D35" s="1">
        <f>SUM(OSRRefD22_5x_0)</f>
        <v>0</v>
      </c>
      <c r="E35" s="1"/>
      <c r="F35" s="5">
        <f t="shared" ref="F35:F38" si="24">IF(D$12=0,0,D35/D$12)</f>
        <v>0</v>
      </c>
      <c r="G35" s="1"/>
      <c r="H35" s="1">
        <f>SUM(OSRRefH22_5x_0)</f>
        <v>89.98</v>
      </c>
      <c r="I35" s="1"/>
      <c r="J35" s="5">
        <f t="shared" ref="J35:J38" si="25">IF(H$12=0,0,H35/H$12)</f>
        <v>0</v>
      </c>
      <c r="K35" s="1"/>
      <c r="L35" s="1">
        <f t="shared" ref="L35:L38" si="26">+D35-H35</f>
        <v>-89.98</v>
      </c>
      <c r="M35" s="1"/>
      <c r="N35" s="5">
        <f t="shared" ref="N35:N38" si="27">IF(H35=0,0,L35/H35)</f>
        <v>-1</v>
      </c>
      <c r="O35" s="14"/>
      <c r="P35" s="1">
        <f>SUM(OSRRefP22_5x_0)</f>
        <v>0</v>
      </c>
      <c r="Q35" s="1"/>
      <c r="R35" s="5">
        <f t="shared" ref="R35:R38" si="28">IF(P$12=0,0,P35/P$12)</f>
        <v>0</v>
      </c>
      <c r="S35" s="1"/>
      <c r="T35" s="1">
        <f>SUM(OSRRefT22_5x_0)</f>
        <v>131.30000000000001</v>
      </c>
      <c r="U35" s="1"/>
      <c r="V35" s="5">
        <f t="shared" ref="V35:V38" si="29">IF(T$12=0,0,T35/T$12)</f>
        <v>0</v>
      </c>
      <c r="W35" s="1"/>
      <c r="X35" s="1">
        <f t="shared" ref="X35:X38" si="30">+P35-T35</f>
        <v>-131.30000000000001</v>
      </c>
      <c r="Y35" s="1"/>
      <c r="Z35" s="5">
        <f t="shared" ref="Z35:Z38" si="31">IF(T35=0,0,X35/T35)</f>
        <v>-1</v>
      </c>
    </row>
    <row r="36" spans="1:26" s="24" customFormat="1" hidden="1" outlineLevel="2" x14ac:dyDescent="0.25">
      <c r="A36" s="28"/>
      <c r="B36" s="11" t="str">
        <f>CONCATENATE("          ", "6241", " - ", "OFFICE EXPENSE")</f>
        <v xml:space="preserve">          6241 - OFFICE EXPENSE</v>
      </c>
      <c r="C36" s="11"/>
      <c r="D36" s="7"/>
      <c r="E36" s="2"/>
      <c r="F36" s="6">
        <f t="shared" si="24"/>
        <v>0</v>
      </c>
      <c r="G36" s="2"/>
      <c r="H36" s="7">
        <v>89.98</v>
      </c>
      <c r="I36" s="2"/>
      <c r="J36" s="6">
        <f t="shared" si="25"/>
        <v>0</v>
      </c>
      <c r="K36" s="2"/>
      <c r="L36" s="7">
        <f t="shared" si="26"/>
        <v>-89.98</v>
      </c>
      <c r="M36" s="2"/>
      <c r="N36" s="6">
        <f t="shared" si="27"/>
        <v>-1</v>
      </c>
      <c r="O36" s="11"/>
      <c r="P36" s="7"/>
      <c r="Q36" s="2"/>
      <c r="R36" s="6">
        <f t="shared" si="28"/>
        <v>0</v>
      </c>
      <c r="S36" s="2"/>
      <c r="T36" s="7">
        <v>131.30000000000001</v>
      </c>
      <c r="U36" s="2"/>
      <c r="V36" s="6">
        <f t="shared" si="29"/>
        <v>0</v>
      </c>
      <c r="W36" s="2"/>
      <c r="X36" s="7">
        <f t="shared" si="30"/>
        <v>-131.30000000000001</v>
      </c>
      <c r="Y36" s="2"/>
      <c r="Z36" s="6">
        <f t="shared" si="31"/>
        <v>-1</v>
      </c>
    </row>
    <row r="37" spans="1:26" s="27" customFormat="1" outlineLevel="1" collapsed="1" x14ac:dyDescent="0.25">
      <c r="A37" s="29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SUM(OSRRefD22_6x_0)</f>
        <v>0</v>
      </c>
      <c r="E37" s="1"/>
      <c r="F37" s="5">
        <f t="shared" si="24"/>
        <v>0</v>
      </c>
      <c r="G37" s="1"/>
      <c r="H37" s="1">
        <f>SUM(OSRRefH22_6x_0)</f>
        <v>0</v>
      </c>
      <c r="I37" s="1"/>
      <c r="J37" s="5">
        <f t="shared" si="25"/>
        <v>0</v>
      </c>
      <c r="K37" s="1"/>
      <c r="L37" s="1">
        <f t="shared" si="26"/>
        <v>0</v>
      </c>
      <c r="M37" s="1"/>
      <c r="N37" s="5">
        <f t="shared" si="27"/>
        <v>0</v>
      </c>
      <c r="O37" s="14"/>
      <c r="P37" s="1">
        <f>SUM(OSRRefP22_6x_0)</f>
        <v>0</v>
      </c>
      <c r="Q37" s="1"/>
      <c r="R37" s="5">
        <f t="shared" si="28"/>
        <v>0</v>
      </c>
      <c r="S37" s="1"/>
      <c r="T37" s="1">
        <f>SUM(OSRRefT22_6x_0)</f>
        <v>72</v>
      </c>
      <c r="U37" s="1"/>
      <c r="V37" s="5">
        <f t="shared" si="29"/>
        <v>0</v>
      </c>
      <c r="W37" s="1"/>
      <c r="X37" s="1">
        <f t="shared" si="30"/>
        <v>-72</v>
      </c>
      <c r="Y37" s="1"/>
      <c r="Z37" s="5">
        <f t="shared" si="31"/>
        <v>-1</v>
      </c>
    </row>
    <row r="38" spans="1:26" s="24" customFormat="1" hidden="1" outlineLevel="2" x14ac:dyDescent="0.25">
      <c r="A38" s="28"/>
      <c r="B38" s="11" t="str">
        <f>CONCATENATE("          ", "6309", " - ", "TELEPHONE")</f>
        <v xml:space="preserve">          6309 - TELEPHONE</v>
      </c>
      <c r="C38" s="11"/>
      <c r="D38" s="7"/>
      <c r="E38" s="2"/>
      <c r="F38" s="6">
        <f t="shared" si="24"/>
        <v>0</v>
      </c>
      <c r="G38" s="2"/>
      <c r="H38" s="7"/>
      <c r="I38" s="2"/>
      <c r="J38" s="6">
        <f t="shared" si="25"/>
        <v>0</v>
      </c>
      <c r="K38" s="2"/>
      <c r="L38" s="7">
        <f t="shared" si="26"/>
        <v>0</v>
      </c>
      <c r="M38" s="2"/>
      <c r="N38" s="6">
        <f t="shared" si="27"/>
        <v>0</v>
      </c>
      <c r="O38" s="11"/>
      <c r="P38" s="7"/>
      <c r="Q38" s="2"/>
      <c r="R38" s="6">
        <f t="shared" si="28"/>
        <v>0</v>
      </c>
      <c r="S38" s="2"/>
      <c r="T38" s="7">
        <v>72</v>
      </c>
      <c r="U38" s="2"/>
      <c r="V38" s="6">
        <f t="shared" si="29"/>
        <v>0</v>
      </c>
      <c r="W38" s="2"/>
      <c r="X38" s="7">
        <f t="shared" si="30"/>
        <v>-72</v>
      </c>
      <c r="Y38" s="2"/>
      <c r="Z38" s="6">
        <f t="shared" si="31"/>
        <v>-1</v>
      </c>
    </row>
    <row r="39" spans="1:26" s="54" customFormat="1" x14ac:dyDescent="0.25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x14ac:dyDescent="0.25">
      <c r="A40" s="10"/>
      <c r="B40" s="26" t="s">
        <v>292</v>
      </c>
      <c r="C40" s="10"/>
      <c r="D40" s="4">
        <f>SUM(0)</f>
        <v>0</v>
      </c>
      <c r="E40" s="4"/>
      <c r="F40" s="12">
        <f>IF(D$12=0,0,D40/D$12)</f>
        <v>0</v>
      </c>
      <c r="G40" s="4"/>
      <c r="H40" s="4">
        <f>SUM(0)</f>
        <v>0</v>
      </c>
      <c r="I40" s="4"/>
      <c r="J40" s="12">
        <f>IF(H$12=0,0,H40/H$12)</f>
        <v>0</v>
      </c>
      <c r="K40" s="4"/>
      <c r="L40" s="4">
        <f>+D40-H40</f>
        <v>0</v>
      </c>
      <c r="M40" s="4"/>
      <c r="N40" s="12">
        <f>IF(H40=0,0,L40/H40)</f>
        <v>0</v>
      </c>
      <c r="O40" s="10"/>
      <c r="P40" s="4">
        <f>SUM(0)</f>
        <v>0</v>
      </c>
      <c r="Q40" s="4"/>
      <c r="R40" s="12">
        <f>IF(P$12=0,0,P40/P$12)</f>
        <v>0</v>
      </c>
      <c r="S40" s="4"/>
      <c r="T40" s="4">
        <f>SUM(0)</f>
        <v>0</v>
      </c>
      <c r="U40" s="4"/>
      <c r="V40" s="12">
        <f>IF(T$12=0,0,T40/T$12)</f>
        <v>0</v>
      </c>
      <c r="W40" s="4"/>
      <c r="X40" s="4">
        <f>+P40-T40</f>
        <v>0</v>
      </c>
      <c r="Y40" s="4"/>
      <c r="Z40" s="12">
        <f>IF(T40=0,0,X40/T40)</f>
        <v>0</v>
      </c>
    </row>
    <row r="41" spans="1:26" x14ac:dyDescent="0.25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25">
      <c r="A42" s="10"/>
      <c r="B42" s="25" t="s">
        <v>276</v>
      </c>
      <c r="C42" s="25"/>
      <c r="D42" s="21">
        <f>+D17-D19+D40</f>
        <v>-71.86</v>
      </c>
      <c r="E42" s="13"/>
      <c r="F42" s="22">
        <f>IF(D$12=0,0,D42/D$12)</f>
        <v>0</v>
      </c>
      <c r="G42" s="13"/>
      <c r="H42" s="21">
        <f>+H17-H19+H40</f>
        <v>-2179.67</v>
      </c>
      <c r="I42" s="13"/>
      <c r="J42" s="22">
        <f>IF(H$12=0,0,H42/H$12)</f>
        <v>0</v>
      </c>
      <c r="K42" s="16"/>
      <c r="L42" s="21">
        <f>+D42-H42</f>
        <v>2107.81</v>
      </c>
      <c r="M42" s="16"/>
      <c r="N42" s="22">
        <f>IF(H42=0,0,L42/H42)</f>
        <v>-0.96703170663449045</v>
      </c>
      <c r="O42" s="26"/>
      <c r="P42" s="21">
        <f>+P17-P19+P40</f>
        <v>-71.86</v>
      </c>
      <c r="Q42" s="13"/>
      <c r="R42" s="22">
        <f>IF(P$12=0,0,P42/P$12)</f>
        <v>0</v>
      </c>
      <c r="S42" s="13"/>
      <c r="T42" s="21">
        <f>+T17-T19+T40</f>
        <v>-7806.3899999999994</v>
      </c>
      <c r="U42" s="13"/>
      <c r="V42" s="22">
        <f>IF(T$12=0,0,T42/T$12)</f>
        <v>0</v>
      </c>
      <c r="W42" s="16"/>
      <c r="X42" s="21">
        <f>+P42-T42</f>
        <v>7734.53</v>
      </c>
      <c r="Y42" s="16"/>
      <c r="Z42" s="22">
        <f>IF(T42=0,0,X42/T42)</f>
        <v>-0.99079472073519259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25">
      <c r="A44" s="51"/>
      <c r="B44" s="10" t="s">
        <v>127</v>
      </c>
      <c r="C44" s="10"/>
      <c r="D44" s="4"/>
      <c r="E44" s="4"/>
      <c r="F44" s="12">
        <f>IF(D$12=0,0,D44/D$12)</f>
        <v>0</v>
      </c>
      <c r="G44" s="4"/>
      <c r="H44" s="4"/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/>
      <c r="Q44" s="4"/>
      <c r="R44" s="12">
        <f>IF(P$12=0,0,P44/P$12)</f>
        <v>0</v>
      </c>
      <c r="S44" s="4"/>
      <c r="T44" s="4"/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ht="15.75" thickBot="1" x14ac:dyDescent="0.3">
      <c r="A46" s="10"/>
      <c r="B46" s="25" t="s">
        <v>125</v>
      </c>
      <c r="C46" s="25"/>
      <c r="D46" s="33">
        <f>+D42-D44</f>
        <v>-71.86</v>
      </c>
      <c r="E46" s="13"/>
      <c r="F46" s="35">
        <f>IF(D$12=0,0,D46/D$12)</f>
        <v>0</v>
      </c>
      <c r="G46" s="13"/>
      <c r="H46" s="33">
        <f>+H42-H44</f>
        <v>-2179.67</v>
      </c>
      <c r="I46" s="13"/>
      <c r="J46" s="35">
        <f>IF(H$12=0,0,H46/H$12)</f>
        <v>0</v>
      </c>
      <c r="K46" s="16"/>
      <c r="L46" s="33">
        <f>D46-H46</f>
        <v>2107.81</v>
      </c>
      <c r="M46" s="16"/>
      <c r="N46" s="35">
        <f>IF(H46=0,0,L46/H46)</f>
        <v>-0.96703170663449045</v>
      </c>
      <c r="O46" s="26"/>
      <c r="P46" s="33">
        <f>+P42-P44</f>
        <v>-71.86</v>
      </c>
      <c r="Q46" s="13"/>
      <c r="R46" s="35">
        <f>IF(P$12=0,0,P46/P$12)</f>
        <v>0</v>
      </c>
      <c r="S46" s="13"/>
      <c r="T46" s="33">
        <f>+T42-T44</f>
        <v>-7806.3899999999994</v>
      </c>
      <c r="U46" s="13"/>
      <c r="V46" s="35">
        <f>IF(T$12=0,0,T46/T$12)</f>
        <v>0</v>
      </c>
      <c r="W46" s="16"/>
      <c r="X46" s="33">
        <f>P46-T46</f>
        <v>7734.53</v>
      </c>
      <c r="Y46" s="16"/>
      <c r="Z46" s="35">
        <f>IF(T46=0,0,X46/T46)</f>
        <v>-0.99079472073519259</v>
      </c>
    </row>
    <row r="47" spans="1:26" ht="15.75" thickTop="1" x14ac:dyDescent="0.25">
      <c r="A47" s="9"/>
      <c r="B47" s="9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ht="15.75" thickBot="1" x14ac:dyDescent="0.3">
      <c r="A49" s="10"/>
      <c r="B49" s="25" t="s">
        <v>293</v>
      </c>
      <c r="C49" s="25"/>
      <c r="D49" s="31">
        <f>SUM(D46:D48)</f>
        <v>-71.86</v>
      </c>
      <c r="E49" s="13"/>
      <c r="F49" s="32">
        <f>IF(D$12=0,0,D49/D$12)</f>
        <v>0</v>
      </c>
      <c r="G49" s="13"/>
      <c r="H49" s="31">
        <f>SUM(H46:H48)</f>
        <v>-2179.67</v>
      </c>
      <c r="I49" s="13"/>
      <c r="J49" s="32">
        <f>IF(H$12=0,0,H49/H$12)</f>
        <v>0</v>
      </c>
      <c r="K49" s="16"/>
      <c r="L49" s="31">
        <f>+D49-H49</f>
        <v>2107.81</v>
      </c>
      <c r="M49" s="16"/>
      <c r="N49" s="32">
        <f>IF(H49=0,0,L49/H49)</f>
        <v>-0.96703170663449045</v>
      </c>
      <c r="O49" s="26"/>
      <c r="P49" s="31">
        <f>SUM(P46:P48)</f>
        <v>-71.86</v>
      </c>
      <c r="Q49" s="13"/>
      <c r="R49" s="32">
        <f>IF(P$12=0,0,P49/P$12)</f>
        <v>0</v>
      </c>
      <c r="S49" s="13"/>
      <c r="T49" s="31">
        <f>SUM(T46:T48)</f>
        <v>-7806.3899999999994</v>
      </c>
      <c r="U49" s="13"/>
      <c r="V49" s="32">
        <f>IF(T$12=0,0,T49/T$12)</f>
        <v>0</v>
      </c>
      <c r="W49" s="16"/>
      <c r="X49" s="31">
        <f>+P49-T49</f>
        <v>7734.53</v>
      </c>
      <c r="Y49" s="16"/>
      <c r="Z49" s="32">
        <f>IF(T49=0,0,X49/T49)</f>
        <v>-0.99079472073519259</v>
      </c>
    </row>
    <row r="50" spans="1:26" ht="15.75" thickTop="1" x14ac:dyDescent="0.25">
      <c r="A50" s="9"/>
      <c r="C50" s="9"/>
      <c r="D50" s="18"/>
      <c r="E50" s="18"/>
      <c r="G50" s="18"/>
      <c r="H50" s="18"/>
      <c r="I50" s="18"/>
      <c r="J50" s="42"/>
      <c r="K50" s="18"/>
      <c r="L50" s="18"/>
      <c r="M50" s="18"/>
      <c r="P50" s="18"/>
      <c r="Q50" s="18"/>
      <c r="R50" s="42"/>
      <c r="S50" s="18"/>
      <c r="T50" s="18"/>
      <c r="U50" s="18"/>
      <c r="V50" s="42"/>
      <c r="W50" s="18"/>
      <c r="X50" s="18"/>
    </row>
    <row r="51" spans="1:26" x14ac:dyDescent="0.25">
      <c r="A51" s="9"/>
      <c r="B51" s="58">
        <v>44481.985668518515</v>
      </c>
      <c r="D51" s="18"/>
      <c r="E51" s="18"/>
      <c r="G51" s="18"/>
      <c r="H51" s="18"/>
      <c r="I51" s="18"/>
      <c r="J51" s="42"/>
      <c r="K51" s="18"/>
      <c r="L51" s="18"/>
      <c r="M51" s="18"/>
      <c r="P51" s="18"/>
      <c r="Q51" s="18"/>
      <c r="R51" s="42"/>
      <c r="S51" s="18"/>
      <c r="T51" s="18"/>
      <c r="U51" s="18"/>
      <c r="V51" s="42"/>
      <c r="W51" s="18"/>
      <c r="X51" s="18"/>
    </row>
    <row r="52" spans="1:26" x14ac:dyDescent="0.25">
      <c r="A52" s="9"/>
      <c r="B52" s="53" t="s">
        <v>56</v>
      </c>
      <c r="D52" s="18"/>
      <c r="E52" s="18"/>
      <c r="G52" s="18"/>
      <c r="H52" s="18"/>
      <c r="I52" s="18"/>
      <c r="J52" s="42"/>
      <c r="K52" s="18"/>
      <c r="L52" s="18"/>
      <c r="M52" s="18"/>
      <c r="P52" s="18"/>
      <c r="Q52" s="18"/>
      <c r="R52" s="42"/>
      <c r="S52" s="18"/>
      <c r="T52" s="18"/>
      <c r="U52" s="18"/>
      <c r="V52" s="42"/>
      <c r="W52" s="18"/>
      <c r="X52" s="18"/>
    </row>
    <row r="53" spans="1:26" x14ac:dyDescent="0.25">
      <c r="A53" s="9"/>
      <c r="B53" s="52"/>
      <c r="D53" s="18"/>
      <c r="E53" s="18"/>
      <c r="G53" s="18"/>
      <c r="H53" s="18"/>
      <c r="I53" s="18"/>
      <c r="J53" s="42"/>
      <c r="K53" s="18"/>
      <c r="L53" s="18"/>
      <c r="M53" s="18"/>
      <c r="P53" s="18"/>
      <c r="Q53" s="18"/>
      <c r="R53" s="42"/>
      <c r="S53" s="18"/>
      <c r="T53" s="18"/>
      <c r="U53" s="18"/>
      <c r="V53" s="42"/>
      <c r="W53" s="18"/>
      <c r="X53" s="18"/>
    </row>
    <row r="54" spans="1:26" x14ac:dyDescent="0.25"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217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","325", " - ", "Outpost C-Store")</f>
        <v>Department 325 - Outpost C-Store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16104.16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16104.16</v>
      </c>
      <c r="M12" s="4"/>
      <c r="N12" s="12">
        <f t="shared" ref="N12:N14" si="1">IF(H12=0,0,L12/H12)</f>
        <v>0</v>
      </c>
      <c r="O12" s="10"/>
      <c r="P12" s="4">
        <f>SUM(OSRRefP13x_0)</f>
        <v>22638.949999999997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22638.949999999997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--2858.93</f>
        <v>2858.93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2858.93</v>
      </c>
      <c r="M13" s="2"/>
      <c r="N13" s="19">
        <f t="shared" si="1"/>
        <v>0</v>
      </c>
      <c r="O13" s="11"/>
      <c r="P13" s="2">
        <f>--4093.85</f>
        <v>4093.85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4093.85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--13245.23</f>
        <v>13245.23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13245.23</v>
      </c>
      <c r="M14" s="2"/>
      <c r="N14" s="19">
        <f t="shared" si="1"/>
        <v>0</v>
      </c>
      <c r="O14" s="11"/>
      <c r="P14" s="2">
        <f>--18545.1</f>
        <v>18545.099999999999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18545.099999999999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256</v>
      </c>
      <c r="C16" s="10"/>
      <c r="D16" s="4">
        <f>SUM(OSRRefD16x_0)</f>
        <v>7890.5199999999995</v>
      </c>
      <c r="E16" s="4"/>
      <c r="F16" s="12">
        <f t="shared" ref="F16:F18" si="6">IF(D$12=0,0,D16/D$12)</f>
        <v>0.48996780955976588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7890.5199999999995</v>
      </c>
      <c r="M16" s="4"/>
      <c r="N16" s="12">
        <f t="shared" ref="N16:N18" si="9">IF(H16=0,0,L16/H16)</f>
        <v>0</v>
      </c>
      <c r="O16" s="10"/>
      <c r="P16" s="4">
        <f>SUM(OSRRefP16x_0)</f>
        <v>11092.080000000002</v>
      </c>
      <c r="Q16" s="4"/>
      <c r="R16" s="12">
        <f t="shared" ref="R16:R18" si="10">IF(P$12=0,0,P16/P$12)</f>
        <v>0.48995558539596595</v>
      </c>
      <c r="S16" s="4"/>
      <c r="T16" s="4">
        <f>SUM(OSRRefT16x_0)</f>
        <v>-688.96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11781.04</v>
      </c>
      <c r="Y16" s="4"/>
      <c r="Z16" s="12">
        <f t="shared" ref="Z16:Z18" si="13">IF(T16=0,0,X16/T16)</f>
        <v>-17.09974454249884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8370.32</v>
      </c>
      <c r="E17" s="2"/>
      <c r="F17" s="19">
        <f t="shared" si="6"/>
        <v>0.51976135358814124</v>
      </c>
      <c r="G17" s="2"/>
      <c r="H17" s="2"/>
      <c r="I17" s="2"/>
      <c r="J17" s="19">
        <f t="shared" si="7"/>
        <v>0</v>
      </c>
      <c r="K17" s="2"/>
      <c r="L17" s="2">
        <f t="shared" si="8"/>
        <v>8370.32</v>
      </c>
      <c r="M17" s="2"/>
      <c r="N17" s="19">
        <f t="shared" si="9"/>
        <v>0</v>
      </c>
      <c r="O17" s="11"/>
      <c r="P17" s="2">
        <v>23310.880000000001</v>
      </c>
      <c r="Q17" s="2"/>
      <c r="R17" s="19">
        <f t="shared" si="10"/>
        <v>1.0296802634397799</v>
      </c>
      <c r="S17" s="2"/>
      <c r="T17" s="2">
        <v>-688.96</v>
      </c>
      <c r="U17" s="2"/>
      <c r="V17" s="19">
        <f t="shared" si="11"/>
        <v>0</v>
      </c>
      <c r="W17" s="2"/>
      <c r="X17" s="2">
        <f t="shared" si="12"/>
        <v>23999.84</v>
      </c>
      <c r="Y17" s="2"/>
      <c r="Z17" s="19">
        <f t="shared" si="13"/>
        <v>-34.834881560613098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-479.8</v>
      </c>
      <c r="E18" s="2"/>
      <c r="F18" s="19">
        <f t="shared" si="6"/>
        <v>-2.9793544028375279E-2</v>
      </c>
      <c r="G18" s="2"/>
      <c r="H18" s="2"/>
      <c r="I18" s="2"/>
      <c r="J18" s="19">
        <f t="shared" si="7"/>
        <v>0</v>
      </c>
      <c r="K18" s="2"/>
      <c r="L18" s="2">
        <f t="shared" si="8"/>
        <v>-479.8</v>
      </c>
      <c r="M18" s="2"/>
      <c r="N18" s="19">
        <f t="shared" si="9"/>
        <v>0</v>
      </c>
      <c r="O18" s="11"/>
      <c r="P18" s="2">
        <v>-12218.8</v>
      </c>
      <c r="Q18" s="2"/>
      <c r="R18" s="19">
        <f t="shared" si="10"/>
        <v>-0.53972467804381385</v>
      </c>
      <c r="S18" s="2"/>
      <c r="T18" s="2"/>
      <c r="U18" s="2"/>
      <c r="V18" s="19">
        <f t="shared" si="11"/>
        <v>0</v>
      </c>
      <c r="W18" s="2"/>
      <c r="X18" s="2">
        <f t="shared" si="12"/>
        <v>-12218.8</v>
      </c>
      <c r="Y18" s="2"/>
      <c r="Z18" s="19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107</v>
      </c>
      <c r="C20" s="25"/>
      <c r="D20" s="21">
        <f>D12-D16</f>
        <v>8213.64</v>
      </c>
      <c r="E20" s="13"/>
      <c r="F20" s="22">
        <f>IF(D$12=0,0,D20/D$12)</f>
        <v>0.51003219044023407</v>
      </c>
      <c r="G20" s="13"/>
      <c r="H20" s="21">
        <f>H12-H16</f>
        <v>0</v>
      </c>
      <c r="I20" s="13"/>
      <c r="J20" s="22">
        <f>IF(H$12=0,0,H20/H$12)</f>
        <v>0</v>
      </c>
      <c r="K20" s="16"/>
      <c r="L20" s="21">
        <f>+D20-H20</f>
        <v>8213.64</v>
      </c>
      <c r="M20" s="16"/>
      <c r="N20" s="22">
        <f>IF(H20=0,0,L20/H20)</f>
        <v>0</v>
      </c>
      <c r="O20" s="26"/>
      <c r="P20" s="21">
        <f>P12-P16</f>
        <v>11546.869999999995</v>
      </c>
      <c r="Q20" s="13"/>
      <c r="R20" s="22">
        <f>IF(P$12=0,0,P20/P$12)</f>
        <v>0.51004441460403405</v>
      </c>
      <c r="S20" s="13"/>
      <c r="T20" s="21">
        <f>T12-T16</f>
        <v>688.96</v>
      </c>
      <c r="U20" s="13"/>
      <c r="V20" s="22">
        <f>IF(T$12=0,0,T20/T$12)</f>
        <v>0</v>
      </c>
      <c r="W20" s="16"/>
      <c r="X20" s="21">
        <f>+P20-T20</f>
        <v>10857.909999999996</v>
      </c>
      <c r="Y20" s="16"/>
      <c r="Z20" s="22">
        <f>IF(T20=0,0,X20/T20)</f>
        <v>15.759855434277746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294</v>
      </c>
      <c r="C22" s="10"/>
      <c r="D22" s="20">
        <f>SUM(OSRRefD22x_0)</f>
        <v>16137.500000000002</v>
      </c>
      <c r="E22" s="20"/>
      <c r="F22" s="30">
        <f t="shared" ref="F22:F30" si="14">IF(D$12=0,0,D22/D$12)</f>
        <v>1.0020702725258568</v>
      </c>
      <c r="G22" s="20"/>
      <c r="H22" s="20">
        <f>SUM(OSRRefH22x_0)</f>
        <v>10652.890000000001</v>
      </c>
      <c r="I22" s="20"/>
      <c r="J22" s="30">
        <f t="shared" ref="J22:J30" si="15">IF(H$12=0,0,H22/H$12)</f>
        <v>0</v>
      </c>
      <c r="K22" s="4"/>
      <c r="L22" s="20">
        <f t="shared" ref="L22:L30" si="16">+D22-H22</f>
        <v>5484.6100000000006</v>
      </c>
      <c r="M22" s="4"/>
      <c r="N22" s="30">
        <f t="shared" ref="N22:N30" si="17">IF(H22=0,0,L22/H22)</f>
        <v>0.51484714476541105</v>
      </c>
      <c r="O22" s="10"/>
      <c r="P22" s="20">
        <f>SUM(OSRRefP22x_0)</f>
        <v>50986.19999999999</v>
      </c>
      <c r="Q22" s="20"/>
      <c r="R22" s="30">
        <f t="shared" ref="R22:R30" si="18">IF(P$12=0,0,P22/P$12)</f>
        <v>2.252145086234123</v>
      </c>
      <c r="S22" s="20"/>
      <c r="T22" s="20">
        <f>SUM(OSRRefT22x_0)</f>
        <v>35076.020000000004</v>
      </c>
      <c r="U22" s="20"/>
      <c r="V22" s="30">
        <f t="shared" ref="V22:V30" si="19">IF(T$12=0,0,T22/T$12)</f>
        <v>0</v>
      </c>
      <c r="W22" s="4"/>
      <c r="X22" s="20">
        <f t="shared" ref="X22:X30" si="20">+P22-T22</f>
        <v>15910.179999999986</v>
      </c>
      <c r="Y22" s="4"/>
      <c r="Z22" s="30">
        <f t="shared" ref="Z22:Z30" si="21">IF(T22=0,0,X22/T22)</f>
        <v>0.45359137097082236</v>
      </c>
    </row>
    <row r="23" spans="1:26" s="27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259.75000000000006</v>
      </c>
      <c r="E23" s="1"/>
      <c r="F23" s="5">
        <f t="shared" si="14"/>
        <v>1.6129372783181491E-2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259.75000000000006</v>
      </c>
      <c r="M23" s="1"/>
      <c r="N23" s="5">
        <f t="shared" si="17"/>
        <v>0</v>
      </c>
      <c r="O23" s="14"/>
      <c r="P23" s="1">
        <f>SUM(OSRRefP22_0x_0)</f>
        <v>459.2</v>
      </c>
      <c r="Q23" s="1"/>
      <c r="R23" s="5">
        <f t="shared" si="18"/>
        <v>2.0283626228248221E-2</v>
      </c>
      <c r="S23" s="1"/>
      <c r="T23" s="1">
        <f>SUM(OSRRefT22_0x_0)</f>
        <v>2889.72</v>
      </c>
      <c r="U23" s="1"/>
      <c r="V23" s="5">
        <f t="shared" si="19"/>
        <v>0</v>
      </c>
      <c r="W23" s="1"/>
      <c r="X23" s="1">
        <f t="shared" si="20"/>
        <v>-2430.52</v>
      </c>
      <c r="Y23" s="1"/>
      <c r="Z23" s="5">
        <f t="shared" si="21"/>
        <v>-0.84109187049264289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7">
        <v>163.55000000000001</v>
      </c>
      <c r="E24" s="2"/>
      <c r="F24" s="6">
        <f t="shared" si="14"/>
        <v>1.0155760995916583E-2</v>
      </c>
      <c r="G24" s="2"/>
      <c r="H24" s="7"/>
      <c r="I24" s="2"/>
      <c r="J24" s="6">
        <f t="shared" si="15"/>
        <v>0</v>
      </c>
      <c r="K24" s="2"/>
      <c r="L24" s="7">
        <f t="shared" si="16"/>
        <v>163.55000000000001</v>
      </c>
      <c r="M24" s="2"/>
      <c r="N24" s="6">
        <f t="shared" si="17"/>
        <v>0</v>
      </c>
      <c r="O24" s="11"/>
      <c r="P24" s="7">
        <v>324.76</v>
      </c>
      <c r="Q24" s="2"/>
      <c r="R24" s="6">
        <f t="shared" si="18"/>
        <v>1.4345188270657431E-2</v>
      </c>
      <c r="S24" s="2"/>
      <c r="T24" s="7">
        <v>159.12</v>
      </c>
      <c r="U24" s="2"/>
      <c r="V24" s="6">
        <f t="shared" si="19"/>
        <v>0</v>
      </c>
      <c r="W24" s="2"/>
      <c r="X24" s="7">
        <f t="shared" si="20"/>
        <v>165.64</v>
      </c>
      <c r="Y24" s="2"/>
      <c r="Z24" s="6">
        <f t="shared" si="21"/>
        <v>1.0409753645047761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7">
        <v>83.23</v>
      </c>
      <c r="E25" s="2"/>
      <c r="F25" s="6">
        <f t="shared" si="14"/>
        <v>5.1682298238467581E-3</v>
      </c>
      <c r="G25" s="2"/>
      <c r="H25" s="7"/>
      <c r="I25" s="2"/>
      <c r="J25" s="6">
        <f t="shared" si="15"/>
        <v>0</v>
      </c>
      <c r="K25" s="2"/>
      <c r="L25" s="7">
        <f t="shared" si="16"/>
        <v>83.23</v>
      </c>
      <c r="M25" s="2"/>
      <c r="N25" s="6">
        <f t="shared" si="17"/>
        <v>0</v>
      </c>
      <c r="O25" s="11"/>
      <c r="P25" s="7">
        <v>115.76</v>
      </c>
      <c r="Q25" s="2"/>
      <c r="R25" s="6">
        <f t="shared" si="18"/>
        <v>5.1133113505705879E-3</v>
      </c>
      <c r="S25" s="2"/>
      <c r="T25" s="7"/>
      <c r="U25" s="2"/>
      <c r="V25" s="6">
        <f t="shared" si="19"/>
        <v>0</v>
      </c>
      <c r="W25" s="2"/>
      <c r="X25" s="7">
        <f t="shared" si="20"/>
        <v>115.76</v>
      </c>
      <c r="Y25" s="2"/>
      <c r="Z25" s="6">
        <f t="shared" si="21"/>
        <v>0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/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1915.63</v>
      </c>
      <c r="U26" s="2"/>
      <c r="V26" s="6">
        <f t="shared" si="19"/>
        <v>0</v>
      </c>
      <c r="W26" s="2"/>
      <c r="X26" s="7">
        <f t="shared" si="20"/>
        <v>-1915.63</v>
      </c>
      <c r="Y26" s="2"/>
      <c r="Z26" s="6">
        <f t="shared" si="21"/>
        <v>-1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12.97</v>
      </c>
      <c r="E27" s="2"/>
      <c r="F27" s="6">
        <f t="shared" si="14"/>
        <v>8.0538196341814786E-4</v>
      </c>
      <c r="G27" s="2"/>
      <c r="H27" s="7"/>
      <c r="I27" s="2"/>
      <c r="J27" s="6">
        <f t="shared" si="15"/>
        <v>0</v>
      </c>
      <c r="K27" s="2"/>
      <c r="L27" s="7">
        <f t="shared" si="16"/>
        <v>12.97</v>
      </c>
      <c r="M27" s="2"/>
      <c r="N27" s="6">
        <f t="shared" si="17"/>
        <v>0</v>
      </c>
      <c r="O27" s="11"/>
      <c r="P27" s="7">
        <v>18.68</v>
      </c>
      <c r="Q27" s="2"/>
      <c r="R27" s="6">
        <f t="shared" si="18"/>
        <v>8.2512660702020204E-4</v>
      </c>
      <c r="S27" s="2"/>
      <c r="T27" s="7"/>
      <c r="U27" s="2"/>
      <c r="V27" s="6">
        <f t="shared" si="19"/>
        <v>0</v>
      </c>
      <c r="W27" s="2"/>
      <c r="X27" s="7">
        <f t="shared" si="20"/>
        <v>18.68</v>
      </c>
      <c r="Y27" s="2"/>
      <c r="Z27" s="6">
        <f t="shared" si="21"/>
        <v>0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/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458.89</v>
      </c>
      <c r="U28" s="2"/>
      <c r="V28" s="6">
        <f t="shared" si="19"/>
        <v>0</v>
      </c>
      <c r="W28" s="2"/>
      <c r="X28" s="7">
        <f t="shared" si="20"/>
        <v>-458.89</v>
      </c>
      <c r="Y28" s="2"/>
      <c r="Z28" s="6">
        <f t="shared" si="21"/>
        <v>-1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/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152.1</v>
      </c>
      <c r="U29" s="2"/>
      <c r="V29" s="6">
        <f t="shared" si="19"/>
        <v>0</v>
      </c>
      <c r="W29" s="2"/>
      <c r="X29" s="7">
        <f t="shared" si="20"/>
        <v>-152.1</v>
      </c>
      <c r="Y29" s="2"/>
      <c r="Z29" s="6">
        <f t="shared" si="21"/>
        <v>-1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/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203.98</v>
      </c>
      <c r="U30" s="2"/>
      <c r="V30" s="6">
        <f t="shared" si="19"/>
        <v>0</v>
      </c>
      <c r="W30" s="2"/>
      <c r="X30" s="7">
        <f t="shared" si="20"/>
        <v>-203.98</v>
      </c>
      <c r="Y30" s="2"/>
      <c r="Z30" s="6">
        <f t="shared" si="21"/>
        <v>-1</v>
      </c>
    </row>
    <row r="31" spans="1:26" s="27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4434.13</v>
      </c>
      <c r="E31" s="1"/>
      <c r="F31" s="5">
        <f t="shared" ref="F31:F34" si="22">IF(D$12=0,0,D31/D$12)</f>
        <v>0.27534065732084134</v>
      </c>
      <c r="G31" s="1"/>
      <c r="H31" s="1">
        <f>SUM(OSRRefH22_1x_0)</f>
        <v>0</v>
      </c>
      <c r="I31" s="1"/>
      <c r="J31" s="5">
        <f t="shared" ref="J31:J34" si="23">IF(H$12=0,0,H31/H$12)</f>
        <v>0</v>
      </c>
      <c r="K31" s="1"/>
      <c r="L31" s="1">
        <f t="shared" ref="L31:L34" si="24">+D31-H31</f>
        <v>4434.13</v>
      </c>
      <c r="M31" s="1"/>
      <c r="N31" s="5">
        <f t="shared" ref="N31:N34" si="25">IF(H31=0,0,L31/H31)</f>
        <v>0</v>
      </c>
      <c r="O31" s="14"/>
      <c r="P31" s="1">
        <f>SUM(OSRRefP22_1x_0)</f>
        <v>7970.49</v>
      </c>
      <c r="Q31" s="1"/>
      <c r="R31" s="5">
        <f t="shared" ref="R31:R34" si="26">IF(P$12=0,0,P31/P$12)</f>
        <v>0.35206977355398555</v>
      </c>
      <c r="S31" s="1"/>
      <c r="T31" s="1">
        <f>SUM(OSRRefT22_1x_0)</f>
        <v>884</v>
      </c>
      <c r="U31" s="1"/>
      <c r="V31" s="5">
        <f t="shared" ref="V31:V34" si="27">IF(T$12=0,0,T31/T$12)</f>
        <v>0</v>
      </c>
      <c r="W31" s="1"/>
      <c r="X31" s="1">
        <f t="shared" ref="X31:X34" si="28">+P31-T31</f>
        <v>7086.49</v>
      </c>
      <c r="Y31" s="1"/>
      <c r="Z31" s="5">
        <f t="shared" ref="Z31:Z34" si="29">IF(T31=0,0,X31/T31)</f>
        <v>8.0163914027149321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2"/>
        <v>0</v>
      </c>
      <c r="G32" s="2"/>
      <c r="H32" s="7"/>
      <c r="I32" s="2"/>
      <c r="J32" s="6">
        <f t="shared" si="23"/>
        <v>0</v>
      </c>
      <c r="K32" s="2"/>
      <c r="L32" s="7">
        <f t="shared" si="24"/>
        <v>0</v>
      </c>
      <c r="M32" s="2"/>
      <c r="N32" s="6">
        <f t="shared" si="25"/>
        <v>0</v>
      </c>
      <c r="O32" s="11"/>
      <c r="P32" s="7"/>
      <c r="Q32" s="2"/>
      <c r="R32" s="6">
        <f t="shared" si="26"/>
        <v>0</v>
      </c>
      <c r="S32" s="2"/>
      <c r="T32" s="7">
        <v>884</v>
      </c>
      <c r="U32" s="2"/>
      <c r="V32" s="6">
        <f t="shared" si="27"/>
        <v>0</v>
      </c>
      <c r="W32" s="2"/>
      <c r="X32" s="7">
        <f t="shared" si="28"/>
        <v>-884</v>
      </c>
      <c r="Y32" s="2"/>
      <c r="Z32" s="6">
        <f t="shared" si="29"/>
        <v>-1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7">
        <v>2137.8000000000002</v>
      </c>
      <c r="E33" s="2"/>
      <c r="F33" s="6">
        <f t="shared" si="22"/>
        <v>0.13274830851158956</v>
      </c>
      <c r="G33" s="2"/>
      <c r="H33" s="7"/>
      <c r="I33" s="2"/>
      <c r="J33" s="6">
        <f t="shared" si="23"/>
        <v>0</v>
      </c>
      <c r="K33" s="2"/>
      <c r="L33" s="7">
        <f t="shared" si="24"/>
        <v>2137.8000000000002</v>
      </c>
      <c r="M33" s="2"/>
      <c r="N33" s="6">
        <f t="shared" si="25"/>
        <v>0</v>
      </c>
      <c r="O33" s="11"/>
      <c r="P33" s="7">
        <v>3396.6</v>
      </c>
      <c r="Q33" s="2"/>
      <c r="R33" s="6">
        <f t="shared" si="26"/>
        <v>0.15003346003237783</v>
      </c>
      <c r="S33" s="2"/>
      <c r="T33" s="7"/>
      <c r="U33" s="2"/>
      <c r="V33" s="6">
        <f t="shared" si="27"/>
        <v>0</v>
      </c>
      <c r="W33" s="2"/>
      <c r="X33" s="7">
        <f t="shared" si="28"/>
        <v>3396.6</v>
      </c>
      <c r="Y33" s="2"/>
      <c r="Z33" s="6">
        <f t="shared" si="29"/>
        <v>0</v>
      </c>
    </row>
    <row r="34" spans="1:26" s="24" customFormat="1" hidden="1" outlineLevel="2" x14ac:dyDescent="0.25">
      <c r="A34" s="28"/>
      <c r="B34" s="11" t="str">
        <f>CONCATENATE("          ", "6007", " - ", "STUDENT HOURLY")</f>
        <v xml:space="preserve">          6007 - STUDENT HOURLY</v>
      </c>
      <c r="C34" s="11"/>
      <c r="D34" s="7">
        <v>2296.33</v>
      </c>
      <c r="E34" s="2"/>
      <c r="F34" s="6">
        <f t="shared" si="22"/>
        <v>0.14259234880925176</v>
      </c>
      <c r="G34" s="2"/>
      <c r="H34" s="7"/>
      <c r="I34" s="2"/>
      <c r="J34" s="6">
        <f t="shared" si="23"/>
        <v>0</v>
      </c>
      <c r="K34" s="2"/>
      <c r="L34" s="7">
        <f t="shared" si="24"/>
        <v>2296.33</v>
      </c>
      <c r="M34" s="2"/>
      <c r="N34" s="6">
        <f t="shared" si="25"/>
        <v>0</v>
      </c>
      <c r="O34" s="11"/>
      <c r="P34" s="7">
        <v>4573.8900000000003</v>
      </c>
      <c r="Q34" s="2"/>
      <c r="R34" s="6">
        <f t="shared" si="26"/>
        <v>0.20203631352160772</v>
      </c>
      <c r="S34" s="2"/>
      <c r="T34" s="7"/>
      <c r="U34" s="2"/>
      <c r="V34" s="6">
        <f t="shared" si="27"/>
        <v>0</v>
      </c>
      <c r="W34" s="2"/>
      <c r="X34" s="7">
        <f t="shared" si="28"/>
        <v>4573.8900000000003</v>
      </c>
      <c r="Y34" s="2"/>
      <c r="Z34" s="6">
        <f t="shared" si="29"/>
        <v>0</v>
      </c>
    </row>
    <row r="35" spans="1:26" s="27" customFormat="1" outlineLevel="1" collapsed="1" x14ac:dyDescent="0.25">
      <c r="A35" s="29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0</v>
      </c>
      <c r="E35" s="1"/>
      <c r="F35" s="5">
        <f t="shared" ref="F35:F43" si="30">IF(D$12=0,0,D35/D$12)</f>
        <v>0</v>
      </c>
      <c r="G35" s="1"/>
      <c r="H35" s="1">
        <f>SUM(OSRRefH22_2x_0)</f>
        <v>0</v>
      </c>
      <c r="I35" s="1"/>
      <c r="J35" s="5">
        <f t="shared" ref="J35:J43" si="31">IF(H$12=0,0,H35/H$12)</f>
        <v>0</v>
      </c>
      <c r="K35" s="1"/>
      <c r="L35" s="1">
        <f t="shared" ref="L35:L43" si="32">+D35-H35</f>
        <v>0</v>
      </c>
      <c r="M35" s="1"/>
      <c r="N35" s="5">
        <f t="shared" ref="N35:N43" si="33">IF(H35=0,0,L35/H35)</f>
        <v>0</v>
      </c>
      <c r="O35" s="14"/>
      <c r="P35" s="1">
        <f>SUM(OSRRefP22_2x_0)</f>
        <v>87.97</v>
      </c>
      <c r="Q35" s="1"/>
      <c r="R35" s="5">
        <f t="shared" ref="R35:R43" si="34">IF(P$12=0,0,P35/P$12)</f>
        <v>3.8857809218183709E-3</v>
      </c>
      <c r="S35" s="1"/>
      <c r="T35" s="1">
        <f>SUM(OSRRefT22_2x_0)</f>
        <v>0</v>
      </c>
      <c r="U35" s="1"/>
      <c r="V35" s="5">
        <f t="shared" ref="V35:V43" si="35">IF(T$12=0,0,T35/T$12)</f>
        <v>0</v>
      </c>
      <c r="W35" s="1"/>
      <c r="X35" s="1">
        <f t="shared" ref="X35:X43" si="36">+P35-T35</f>
        <v>87.97</v>
      </c>
      <c r="Y35" s="1"/>
      <c r="Z35" s="5">
        <f t="shared" ref="Z35:Z43" si="37">IF(T35=0,0,X35/T35)</f>
        <v>0</v>
      </c>
    </row>
    <row r="36" spans="1:26" s="24" customFormat="1" hidden="1" outlineLevel="2" x14ac:dyDescent="0.25">
      <c r="A36" s="28"/>
      <c r="B36" s="11" t="str">
        <f>CONCATENATE("          ", "6362", " - ", "ADVERTISING EXPENSE")</f>
        <v xml:space="preserve">          6362 - ADVERTISING EXPENSE</v>
      </c>
      <c r="C36" s="11"/>
      <c r="D36" s="7"/>
      <c r="E36" s="2"/>
      <c r="F36" s="6">
        <f t="shared" si="30"/>
        <v>0</v>
      </c>
      <c r="G36" s="2"/>
      <c r="H36" s="7"/>
      <c r="I36" s="2"/>
      <c r="J36" s="6">
        <f t="shared" si="31"/>
        <v>0</v>
      </c>
      <c r="K36" s="2"/>
      <c r="L36" s="7">
        <f t="shared" si="32"/>
        <v>0</v>
      </c>
      <c r="M36" s="2"/>
      <c r="N36" s="6">
        <f t="shared" si="33"/>
        <v>0</v>
      </c>
      <c r="O36" s="11"/>
      <c r="P36" s="7">
        <v>87.97</v>
      </c>
      <c r="Q36" s="2"/>
      <c r="R36" s="6">
        <f t="shared" si="34"/>
        <v>3.8857809218183709E-3</v>
      </c>
      <c r="S36" s="2"/>
      <c r="T36" s="7"/>
      <c r="U36" s="2"/>
      <c r="V36" s="6">
        <f t="shared" si="35"/>
        <v>0</v>
      </c>
      <c r="W36" s="2"/>
      <c r="X36" s="7">
        <f t="shared" si="36"/>
        <v>87.97</v>
      </c>
      <c r="Y36" s="2"/>
      <c r="Z36" s="6">
        <f t="shared" si="37"/>
        <v>0</v>
      </c>
    </row>
    <row r="37" spans="1:26" s="27" customFormat="1" outlineLevel="1" collapsed="1" x14ac:dyDescent="0.25">
      <c r="A37" s="29"/>
      <c r="B37" s="14" t="str">
        <f>CONCATENATE("     ","Bad Debts/Over/Short                              ")</f>
        <v xml:space="preserve">     Bad Debts/Over/Short                              </v>
      </c>
      <c r="C37" s="14"/>
      <c r="D37" s="1">
        <f>SUM(OSRRefD22_3x_0)</f>
        <v>15.79</v>
      </c>
      <c r="E37" s="1"/>
      <c r="F37" s="5">
        <f t="shared" si="30"/>
        <v>9.8049199709888631E-4</v>
      </c>
      <c r="G37" s="1"/>
      <c r="H37" s="1">
        <f>SUM(OSRRefH22_3x_0)</f>
        <v>0</v>
      </c>
      <c r="I37" s="1"/>
      <c r="J37" s="5">
        <f t="shared" si="31"/>
        <v>0</v>
      </c>
      <c r="K37" s="1"/>
      <c r="L37" s="1">
        <f t="shared" si="32"/>
        <v>15.79</v>
      </c>
      <c r="M37" s="1"/>
      <c r="N37" s="5">
        <f t="shared" si="33"/>
        <v>0</v>
      </c>
      <c r="O37" s="14"/>
      <c r="P37" s="1">
        <f>SUM(OSRRefP22_3x_0)</f>
        <v>14.49</v>
      </c>
      <c r="Q37" s="1"/>
      <c r="R37" s="5">
        <f t="shared" si="34"/>
        <v>6.4004735201941799E-4</v>
      </c>
      <c r="S37" s="1"/>
      <c r="T37" s="1">
        <f>SUM(OSRRefT22_3x_0)</f>
        <v>0</v>
      </c>
      <c r="U37" s="1"/>
      <c r="V37" s="5">
        <f t="shared" si="35"/>
        <v>0</v>
      </c>
      <c r="W37" s="1"/>
      <c r="X37" s="1">
        <f t="shared" si="36"/>
        <v>14.49</v>
      </c>
      <c r="Y37" s="1"/>
      <c r="Z37" s="5">
        <f t="shared" si="37"/>
        <v>0</v>
      </c>
    </row>
    <row r="38" spans="1:26" s="24" customFormat="1" hidden="1" outlineLevel="2" x14ac:dyDescent="0.25">
      <c r="A38" s="28"/>
      <c r="B38" s="11" t="str">
        <f>CONCATENATE("          ", "6272", " - ", "CASH (OVER/SHORT)")</f>
        <v xml:space="preserve">          6272 - CASH (OVER/SHORT)</v>
      </c>
      <c r="C38" s="11"/>
      <c r="D38" s="7">
        <v>15.79</v>
      </c>
      <c r="E38" s="2"/>
      <c r="F38" s="6">
        <f t="shared" si="30"/>
        <v>9.8049199709888631E-4</v>
      </c>
      <c r="G38" s="2"/>
      <c r="H38" s="7"/>
      <c r="I38" s="2"/>
      <c r="J38" s="6">
        <f t="shared" si="31"/>
        <v>0</v>
      </c>
      <c r="K38" s="2"/>
      <c r="L38" s="7">
        <f t="shared" si="32"/>
        <v>15.79</v>
      </c>
      <c r="M38" s="2"/>
      <c r="N38" s="6">
        <f t="shared" si="33"/>
        <v>0</v>
      </c>
      <c r="O38" s="11"/>
      <c r="P38" s="7">
        <v>14.49</v>
      </c>
      <c r="Q38" s="2"/>
      <c r="R38" s="6">
        <f t="shared" si="34"/>
        <v>6.4004735201941799E-4</v>
      </c>
      <c r="S38" s="2"/>
      <c r="T38" s="7"/>
      <c r="U38" s="2"/>
      <c r="V38" s="6">
        <f t="shared" si="35"/>
        <v>0</v>
      </c>
      <c r="W38" s="2"/>
      <c r="X38" s="7">
        <f t="shared" si="36"/>
        <v>14.49</v>
      </c>
      <c r="Y38" s="2"/>
      <c r="Z38" s="6">
        <f t="shared" si="37"/>
        <v>0</v>
      </c>
    </row>
    <row r="39" spans="1:26" s="27" customFormat="1" outlineLevel="1" collapsed="1" x14ac:dyDescent="0.25">
      <c r="A39" s="29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SUM(OSRRefD22_4x_0)</f>
        <v>769.35</v>
      </c>
      <c r="E39" s="1"/>
      <c r="F39" s="5">
        <f t="shared" si="30"/>
        <v>4.7773370358963153E-2</v>
      </c>
      <c r="G39" s="1"/>
      <c r="H39" s="1">
        <f>SUM(OSRRefH22_4x_0)</f>
        <v>0</v>
      </c>
      <c r="I39" s="1"/>
      <c r="J39" s="5">
        <f t="shared" si="31"/>
        <v>0</v>
      </c>
      <c r="K39" s="1"/>
      <c r="L39" s="1">
        <f t="shared" si="32"/>
        <v>769.35</v>
      </c>
      <c r="M39" s="1"/>
      <c r="N39" s="5">
        <f t="shared" si="33"/>
        <v>0</v>
      </c>
      <c r="O39" s="14"/>
      <c r="P39" s="1">
        <f>SUM(OSRRefP22_4x_0)</f>
        <v>1088.9100000000001</v>
      </c>
      <c r="Q39" s="1"/>
      <c r="R39" s="5">
        <f t="shared" si="34"/>
        <v>4.8098962186850551E-2</v>
      </c>
      <c r="S39" s="1"/>
      <c r="T39" s="1">
        <f>SUM(OSRRefT22_4x_0)</f>
        <v>0</v>
      </c>
      <c r="U39" s="1"/>
      <c r="V39" s="5">
        <f t="shared" si="35"/>
        <v>0</v>
      </c>
      <c r="W39" s="1"/>
      <c r="X39" s="1">
        <f t="shared" si="36"/>
        <v>1088.9100000000001</v>
      </c>
      <c r="Y39" s="1"/>
      <c r="Z39" s="5">
        <f t="shared" si="37"/>
        <v>0</v>
      </c>
    </row>
    <row r="40" spans="1:26" s="24" customFormat="1" hidden="1" outlineLevel="2" x14ac:dyDescent="0.25">
      <c r="A40" s="28"/>
      <c r="B40" s="11" t="str">
        <f>CONCATENATE("          ", "6381", " - ", "BANK/CREDIT CARD FEES")</f>
        <v xml:space="preserve">          6381 - BANK/CREDIT CARD FEES</v>
      </c>
      <c r="C40" s="11"/>
      <c r="D40" s="7">
        <v>769.35</v>
      </c>
      <c r="E40" s="2"/>
      <c r="F40" s="6">
        <f t="shared" si="30"/>
        <v>4.7773370358963153E-2</v>
      </c>
      <c r="G40" s="2"/>
      <c r="H40" s="7"/>
      <c r="I40" s="2"/>
      <c r="J40" s="6">
        <f t="shared" si="31"/>
        <v>0</v>
      </c>
      <c r="K40" s="2"/>
      <c r="L40" s="7">
        <f t="shared" si="32"/>
        <v>769.35</v>
      </c>
      <c r="M40" s="2"/>
      <c r="N40" s="6">
        <f t="shared" si="33"/>
        <v>0</v>
      </c>
      <c r="O40" s="11"/>
      <c r="P40" s="7">
        <v>1088.9100000000001</v>
      </c>
      <c r="Q40" s="2"/>
      <c r="R40" s="6">
        <f t="shared" si="34"/>
        <v>4.8098962186850551E-2</v>
      </c>
      <c r="S40" s="2"/>
      <c r="T40" s="7"/>
      <c r="U40" s="2"/>
      <c r="V40" s="6">
        <f t="shared" si="35"/>
        <v>0</v>
      </c>
      <c r="W40" s="2"/>
      <c r="X40" s="7">
        <f t="shared" si="36"/>
        <v>1088.9100000000001</v>
      </c>
      <c r="Y40" s="2"/>
      <c r="Z40" s="6">
        <f t="shared" si="37"/>
        <v>0</v>
      </c>
    </row>
    <row r="41" spans="1:26" s="27" customFormat="1" outlineLevel="1" collapsed="1" x14ac:dyDescent="0.25">
      <c r="A41" s="29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SUM(OSRRefD22_5x_0)</f>
        <v>5471.21</v>
      </c>
      <c r="E41" s="1"/>
      <c r="F41" s="5">
        <f t="shared" si="30"/>
        <v>0.33973892460084848</v>
      </c>
      <c r="G41" s="1"/>
      <c r="H41" s="1">
        <f>SUM(OSRRefH22_5x_0)</f>
        <v>5582.59</v>
      </c>
      <c r="I41" s="1"/>
      <c r="J41" s="5">
        <f t="shared" si="31"/>
        <v>0</v>
      </c>
      <c r="K41" s="1"/>
      <c r="L41" s="1">
        <f t="shared" si="32"/>
        <v>-111.38000000000011</v>
      </c>
      <c r="M41" s="1"/>
      <c r="N41" s="5">
        <f t="shared" si="33"/>
        <v>-1.995131292106354E-2</v>
      </c>
      <c r="O41" s="14"/>
      <c r="P41" s="1">
        <f>SUM(OSRRefP22_5x_0)</f>
        <v>16413.63</v>
      </c>
      <c r="Q41" s="1"/>
      <c r="R41" s="5">
        <f t="shared" si="34"/>
        <v>0.72501728216193784</v>
      </c>
      <c r="S41" s="1"/>
      <c r="T41" s="1">
        <f>SUM(OSRRefT22_5x_0)</f>
        <v>16747.77</v>
      </c>
      <c r="U41" s="1"/>
      <c r="V41" s="5">
        <f t="shared" si="35"/>
        <v>0</v>
      </c>
      <c r="W41" s="1"/>
      <c r="X41" s="1">
        <f t="shared" si="36"/>
        <v>-334.13999999999942</v>
      </c>
      <c r="Y41" s="1"/>
      <c r="Z41" s="5">
        <f t="shared" si="37"/>
        <v>-1.9951312921063485E-2</v>
      </c>
    </row>
    <row r="42" spans="1:26" s="24" customFormat="1" hidden="1" outlineLevel="2" x14ac:dyDescent="0.25">
      <c r="A42" s="28"/>
      <c r="B42" s="11" t="str">
        <f>CONCATENATE("          ", "6321", " - ", "BUILDING DEPRECIATION")</f>
        <v xml:space="preserve">          6321 - BUILDING DEPRECIATION</v>
      </c>
      <c r="C42" s="11"/>
      <c r="D42" s="7">
        <v>5080.51</v>
      </c>
      <c r="E42" s="2"/>
      <c r="F42" s="6">
        <f t="shared" si="30"/>
        <v>0.31547811248770508</v>
      </c>
      <c r="G42" s="2"/>
      <c r="H42" s="7">
        <v>5080.51</v>
      </c>
      <c r="I42" s="2"/>
      <c r="J42" s="6">
        <f t="shared" si="31"/>
        <v>0</v>
      </c>
      <c r="K42" s="2"/>
      <c r="L42" s="7">
        <f t="shared" si="32"/>
        <v>0</v>
      </c>
      <c r="M42" s="2"/>
      <c r="N42" s="6">
        <f t="shared" si="33"/>
        <v>0</v>
      </c>
      <c r="O42" s="11"/>
      <c r="P42" s="7">
        <v>15241.53</v>
      </c>
      <c r="Q42" s="2"/>
      <c r="R42" s="6">
        <f t="shared" si="34"/>
        <v>0.67324367958761355</v>
      </c>
      <c r="S42" s="2"/>
      <c r="T42" s="7">
        <v>15241.53</v>
      </c>
      <c r="U42" s="2"/>
      <c r="V42" s="6">
        <f t="shared" si="35"/>
        <v>0</v>
      </c>
      <c r="W42" s="2"/>
      <c r="X42" s="7">
        <f t="shared" si="36"/>
        <v>0</v>
      </c>
      <c r="Y42" s="2"/>
      <c r="Z42" s="6">
        <f t="shared" si="37"/>
        <v>0</v>
      </c>
    </row>
    <row r="43" spans="1:26" s="24" customFormat="1" hidden="1" outlineLevel="2" x14ac:dyDescent="0.25">
      <c r="A43" s="28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390.7</v>
      </c>
      <c r="E43" s="2"/>
      <c r="F43" s="6">
        <f t="shared" si="30"/>
        <v>2.4260812113143435E-2</v>
      </c>
      <c r="G43" s="2"/>
      <c r="H43" s="7">
        <v>502.08</v>
      </c>
      <c r="I43" s="2"/>
      <c r="J43" s="6">
        <f t="shared" si="31"/>
        <v>0</v>
      </c>
      <c r="K43" s="2"/>
      <c r="L43" s="7">
        <f t="shared" si="32"/>
        <v>-111.38</v>
      </c>
      <c r="M43" s="2"/>
      <c r="N43" s="6">
        <f t="shared" si="33"/>
        <v>-0.22183715742511154</v>
      </c>
      <c r="O43" s="11"/>
      <c r="P43" s="7">
        <v>1172.0999999999999</v>
      </c>
      <c r="Q43" s="2"/>
      <c r="R43" s="6">
        <f t="shared" si="34"/>
        <v>5.177360257432434E-2</v>
      </c>
      <c r="S43" s="2"/>
      <c r="T43" s="7">
        <v>1506.24</v>
      </c>
      <c r="U43" s="2"/>
      <c r="V43" s="6">
        <f t="shared" si="35"/>
        <v>0</v>
      </c>
      <c r="W43" s="2"/>
      <c r="X43" s="7">
        <f t="shared" si="36"/>
        <v>-334.1400000000001</v>
      </c>
      <c r="Y43" s="2"/>
      <c r="Z43" s="6">
        <f t="shared" si="37"/>
        <v>-0.22183715742511159</v>
      </c>
    </row>
    <row r="44" spans="1:26" s="27" customFormat="1" outlineLevel="1" collapsed="1" x14ac:dyDescent="0.25">
      <c r="A44" s="29"/>
      <c r="B44" s="14" t="str">
        <f>CONCATENATE("     ","General                                           ")</f>
        <v xml:space="preserve">     General                                           </v>
      </c>
      <c r="C44" s="14"/>
      <c r="D44" s="1">
        <f>SUM(OSRRefD22_6x_0)</f>
        <v>0</v>
      </c>
      <c r="E44" s="1"/>
      <c r="F44" s="5">
        <f t="shared" ref="F44:F52" si="38">IF(D$12=0,0,D44/D$12)</f>
        <v>0</v>
      </c>
      <c r="G44" s="1"/>
      <c r="H44" s="1">
        <f>SUM(OSRRefH22_6x_0)</f>
        <v>0</v>
      </c>
      <c r="I44" s="1"/>
      <c r="J44" s="5">
        <f t="shared" ref="J44:J52" si="39">IF(H$12=0,0,H44/H$12)</f>
        <v>0</v>
      </c>
      <c r="K44" s="1"/>
      <c r="L44" s="1">
        <f t="shared" ref="L44:L52" si="40">+D44-H44</f>
        <v>0</v>
      </c>
      <c r="M44" s="1"/>
      <c r="N44" s="5">
        <f t="shared" ref="N44:N52" si="41">IF(H44=0,0,L44/H44)</f>
        <v>0</v>
      </c>
      <c r="O44" s="14"/>
      <c r="P44" s="1">
        <f>SUM(OSRRefP22_6x_0)</f>
        <v>842.45</v>
      </c>
      <c r="Q44" s="1"/>
      <c r="R44" s="5">
        <f t="shared" ref="R44:R52" si="42">IF(P$12=0,0,P44/P$12)</f>
        <v>3.7212414886732825E-2</v>
      </c>
      <c r="S44" s="1"/>
      <c r="T44" s="1">
        <f>SUM(OSRRefT22_6x_0)</f>
        <v>754.55</v>
      </c>
      <c r="U44" s="1"/>
      <c r="V44" s="5">
        <f t="shared" ref="V44:V52" si="43">IF(T$12=0,0,T44/T$12)</f>
        <v>0</v>
      </c>
      <c r="W44" s="1"/>
      <c r="X44" s="1">
        <f t="shared" ref="X44:X52" si="44">+P44-T44</f>
        <v>87.900000000000091</v>
      </c>
      <c r="Y44" s="1"/>
      <c r="Z44" s="5">
        <f t="shared" ref="Z44:Z52" si="45">IF(T44=0,0,X44/T44)</f>
        <v>0.11649327413690291</v>
      </c>
    </row>
    <row r="45" spans="1:26" s="24" customFormat="1" hidden="1" outlineLevel="2" x14ac:dyDescent="0.25">
      <c r="A45" s="28"/>
      <c r="B45" s="11" t="str">
        <f>CONCATENATE("          ", "6279", " - ", "GENERAL EXPENSE")</f>
        <v xml:space="preserve">          6279 - GENERAL EXPENSE</v>
      </c>
      <c r="C45" s="11"/>
      <c r="D45" s="7"/>
      <c r="E45" s="2"/>
      <c r="F45" s="6">
        <f t="shared" si="38"/>
        <v>0</v>
      </c>
      <c r="G45" s="2"/>
      <c r="H45" s="7"/>
      <c r="I45" s="2"/>
      <c r="J45" s="6">
        <f t="shared" si="39"/>
        <v>0</v>
      </c>
      <c r="K45" s="2"/>
      <c r="L45" s="7">
        <f t="shared" si="40"/>
        <v>0</v>
      </c>
      <c r="M45" s="2"/>
      <c r="N45" s="6">
        <f t="shared" si="41"/>
        <v>0</v>
      </c>
      <c r="O45" s="11"/>
      <c r="P45" s="7">
        <v>842.45</v>
      </c>
      <c r="Q45" s="2"/>
      <c r="R45" s="6">
        <f t="shared" si="42"/>
        <v>3.7212414886732825E-2</v>
      </c>
      <c r="S45" s="2"/>
      <c r="T45" s="7">
        <v>754.55</v>
      </c>
      <c r="U45" s="2"/>
      <c r="V45" s="6">
        <f t="shared" si="43"/>
        <v>0</v>
      </c>
      <c r="W45" s="2"/>
      <c r="X45" s="7">
        <f t="shared" si="44"/>
        <v>87.900000000000091</v>
      </c>
      <c r="Y45" s="2"/>
      <c r="Z45" s="6">
        <f t="shared" si="45"/>
        <v>0.11649327413690291</v>
      </c>
    </row>
    <row r="46" spans="1:26" s="27" customFormat="1" outlineLevel="1" collapsed="1" x14ac:dyDescent="0.25">
      <c r="A46" s="29"/>
      <c r="B46" s="14" t="str">
        <f>CONCATENATE("     ","Insurance                                         ")</f>
        <v xml:space="preserve">     Insurance                                         </v>
      </c>
      <c r="C46" s="14"/>
      <c r="D46" s="1">
        <f>SUM(OSRRefD22_7x_0)</f>
        <v>331.01</v>
      </c>
      <c r="E46" s="1"/>
      <c r="F46" s="5">
        <f t="shared" si="38"/>
        <v>2.0554316400234474E-2</v>
      </c>
      <c r="G46" s="1"/>
      <c r="H46" s="1">
        <f>SUM(OSRRefH22_7x_0)</f>
        <v>243.54</v>
      </c>
      <c r="I46" s="1"/>
      <c r="J46" s="5">
        <f t="shared" si="39"/>
        <v>0</v>
      </c>
      <c r="K46" s="1"/>
      <c r="L46" s="1">
        <f t="shared" si="40"/>
        <v>87.47</v>
      </c>
      <c r="M46" s="1"/>
      <c r="N46" s="5">
        <f t="shared" si="41"/>
        <v>0.35916071281924944</v>
      </c>
      <c r="O46" s="14"/>
      <c r="P46" s="1">
        <f>SUM(OSRRefP22_7x_0)</f>
        <v>993.03</v>
      </c>
      <c r="Q46" s="1"/>
      <c r="R46" s="5">
        <f t="shared" si="42"/>
        <v>4.3863783435185821E-2</v>
      </c>
      <c r="S46" s="1"/>
      <c r="T46" s="1">
        <f>SUM(OSRRefT22_7x_0)</f>
        <v>730.62</v>
      </c>
      <c r="U46" s="1"/>
      <c r="V46" s="5">
        <f t="shared" si="43"/>
        <v>0</v>
      </c>
      <c r="W46" s="1"/>
      <c r="X46" s="1">
        <f t="shared" si="44"/>
        <v>262.40999999999997</v>
      </c>
      <c r="Y46" s="1"/>
      <c r="Z46" s="5">
        <f t="shared" si="45"/>
        <v>0.35916071281924938</v>
      </c>
    </row>
    <row r="47" spans="1:26" s="24" customFormat="1" hidden="1" outlineLevel="2" x14ac:dyDescent="0.25">
      <c r="A47" s="28"/>
      <c r="B47" s="11" t="str">
        <f>CONCATENATE("          ", "6314", " - ", "LIABILITY INSURANCE")</f>
        <v xml:space="preserve">          6314 - LIABILITY INSURANCE</v>
      </c>
      <c r="C47" s="11"/>
      <c r="D47" s="7">
        <v>331.01</v>
      </c>
      <c r="E47" s="2"/>
      <c r="F47" s="6">
        <f t="shared" si="38"/>
        <v>2.0554316400234474E-2</v>
      </c>
      <c r="G47" s="2"/>
      <c r="H47" s="7">
        <v>243.54</v>
      </c>
      <c r="I47" s="2"/>
      <c r="J47" s="6">
        <f t="shared" si="39"/>
        <v>0</v>
      </c>
      <c r="K47" s="2"/>
      <c r="L47" s="7">
        <f t="shared" si="40"/>
        <v>87.47</v>
      </c>
      <c r="M47" s="2"/>
      <c r="N47" s="6">
        <f t="shared" si="41"/>
        <v>0.35916071281924944</v>
      </c>
      <c r="O47" s="11"/>
      <c r="P47" s="7">
        <v>993.03</v>
      </c>
      <c r="Q47" s="2"/>
      <c r="R47" s="6">
        <f t="shared" si="42"/>
        <v>4.3863783435185821E-2</v>
      </c>
      <c r="S47" s="2"/>
      <c r="T47" s="7">
        <v>730.62</v>
      </c>
      <c r="U47" s="2"/>
      <c r="V47" s="6">
        <f t="shared" si="43"/>
        <v>0</v>
      </c>
      <c r="W47" s="2"/>
      <c r="X47" s="7">
        <f t="shared" si="44"/>
        <v>262.40999999999997</v>
      </c>
      <c r="Y47" s="2"/>
      <c r="Z47" s="6">
        <f t="shared" si="45"/>
        <v>0.35916071281924938</v>
      </c>
    </row>
    <row r="48" spans="1:26" s="27" customFormat="1" outlineLevel="1" collapsed="1" x14ac:dyDescent="0.25">
      <c r="A48" s="29"/>
      <c r="B48" s="14" t="str">
        <f>CONCATENATE("     ","Interest                                          ")</f>
        <v xml:space="preserve">     Interest                                          </v>
      </c>
      <c r="C48" s="14"/>
      <c r="D48" s="1">
        <f>SUM(OSRRefD22_8x_0)</f>
        <v>3905</v>
      </c>
      <c r="E48" s="1"/>
      <c r="F48" s="5">
        <f t="shared" si="38"/>
        <v>0.2424839296181856</v>
      </c>
      <c r="G48" s="1"/>
      <c r="H48" s="1">
        <f>SUM(OSRRefH22_8x_0)</f>
        <v>4044</v>
      </c>
      <c r="I48" s="1"/>
      <c r="J48" s="5">
        <f t="shared" si="39"/>
        <v>0</v>
      </c>
      <c r="K48" s="1"/>
      <c r="L48" s="1">
        <f t="shared" si="40"/>
        <v>-139</v>
      </c>
      <c r="M48" s="1"/>
      <c r="N48" s="5">
        <f t="shared" si="41"/>
        <v>-3.4371909000989118E-2</v>
      </c>
      <c r="O48" s="14"/>
      <c r="P48" s="1">
        <f>SUM(OSRRefP22_8x_0)</f>
        <v>11715</v>
      </c>
      <c r="Q48" s="1"/>
      <c r="R48" s="5">
        <f t="shared" si="42"/>
        <v>0.51747099578381517</v>
      </c>
      <c r="S48" s="1"/>
      <c r="T48" s="1">
        <f>SUM(OSRRefT22_8x_0)</f>
        <v>12132</v>
      </c>
      <c r="U48" s="1"/>
      <c r="V48" s="5">
        <f t="shared" si="43"/>
        <v>0</v>
      </c>
      <c r="W48" s="1"/>
      <c r="X48" s="1">
        <f t="shared" si="44"/>
        <v>-417</v>
      </c>
      <c r="Y48" s="1"/>
      <c r="Z48" s="5">
        <f t="shared" si="45"/>
        <v>-3.4371909000989118E-2</v>
      </c>
    </row>
    <row r="49" spans="1:26" s="24" customFormat="1" hidden="1" outlineLevel="2" x14ac:dyDescent="0.25">
      <c r="A49" s="28"/>
      <c r="B49" s="11" t="str">
        <f>CONCATENATE("          ", "6401", " - ", "INTEREST EXPENSE")</f>
        <v xml:space="preserve">          6401 - INTEREST EXPENSE</v>
      </c>
      <c r="C49" s="11"/>
      <c r="D49" s="7">
        <v>3905</v>
      </c>
      <c r="E49" s="2"/>
      <c r="F49" s="6">
        <f t="shared" si="38"/>
        <v>0.2424839296181856</v>
      </c>
      <c r="G49" s="2"/>
      <c r="H49" s="7">
        <v>4044</v>
      </c>
      <c r="I49" s="2"/>
      <c r="J49" s="6">
        <f t="shared" si="39"/>
        <v>0</v>
      </c>
      <c r="K49" s="2"/>
      <c r="L49" s="7">
        <f t="shared" si="40"/>
        <v>-139</v>
      </c>
      <c r="M49" s="2"/>
      <c r="N49" s="6">
        <f t="shared" si="41"/>
        <v>-3.4371909000989118E-2</v>
      </c>
      <c r="O49" s="11"/>
      <c r="P49" s="7">
        <v>11715</v>
      </c>
      <c r="Q49" s="2"/>
      <c r="R49" s="6">
        <f t="shared" si="42"/>
        <v>0.51747099578381517</v>
      </c>
      <c r="S49" s="2"/>
      <c r="T49" s="7">
        <v>12132</v>
      </c>
      <c r="U49" s="2"/>
      <c r="V49" s="6">
        <f t="shared" si="43"/>
        <v>0</v>
      </c>
      <c r="W49" s="2"/>
      <c r="X49" s="7">
        <f t="shared" si="44"/>
        <v>-417</v>
      </c>
      <c r="Y49" s="2"/>
      <c r="Z49" s="6">
        <f t="shared" si="45"/>
        <v>-3.4371909000989118E-2</v>
      </c>
    </row>
    <row r="50" spans="1:26" s="27" customFormat="1" outlineLevel="1" collapsed="1" x14ac:dyDescent="0.25">
      <c r="A50" s="29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SUM(OSRRefD22_9x_0)</f>
        <v>107.78</v>
      </c>
      <c r="E50" s="1"/>
      <c r="F50" s="5">
        <f t="shared" si="38"/>
        <v>6.6926806489751717E-3</v>
      </c>
      <c r="G50" s="1"/>
      <c r="H50" s="1">
        <f>SUM(OSRRefH22_9x_0)</f>
        <v>108.52</v>
      </c>
      <c r="I50" s="1"/>
      <c r="J50" s="5">
        <f t="shared" si="39"/>
        <v>0</v>
      </c>
      <c r="K50" s="1"/>
      <c r="L50" s="1">
        <f t="shared" si="40"/>
        <v>-0.73999999999999488</v>
      </c>
      <c r="M50" s="1"/>
      <c r="N50" s="5">
        <f t="shared" si="41"/>
        <v>-6.8190195355694334E-3</v>
      </c>
      <c r="O50" s="14"/>
      <c r="P50" s="1">
        <f>SUM(OSRRefP22_9x_0)</f>
        <v>2030.77</v>
      </c>
      <c r="Q50" s="1"/>
      <c r="R50" s="5">
        <f t="shared" si="42"/>
        <v>8.9702481784711754E-2</v>
      </c>
      <c r="S50" s="1"/>
      <c r="T50" s="1">
        <f>SUM(OSRRefT22_9x_0)</f>
        <v>187.12</v>
      </c>
      <c r="U50" s="1"/>
      <c r="V50" s="5">
        <f t="shared" si="43"/>
        <v>0</v>
      </c>
      <c r="W50" s="1"/>
      <c r="X50" s="1">
        <f t="shared" si="44"/>
        <v>1843.65</v>
      </c>
      <c r="Y50" s="1"/>
      <c r="Z50" s="5">
        <f t="shared" si="45"/>
        <v>9.8527682770414717</v>
      </c>
    </row>
    <row r="51" spans="1:26" s="24" customFormat="1" hidden="1" outlineLevel="2" x14ac:dyDescent="0.25">
      <c r="A51" s="28"/>
      <c r="B51" s="11" t="str">
        <f>CONCATENATE("          ", "6373", " - ", "MAINTENANCE CONTRACTS")</f>
        <v xml:space="preserve">          6373 - MAINTENANCE CONTRACTS</v>
      </c>
      <c r="C51" s="11"/>
      <c r="D51" s="7">
        <v>107.78</v>
      </c>
      <c r="E51" s="2"/>
      <c r="F51" s="6">
        <f t="shared" si="38"/>
        <v>6.6926806489751717E-3</v>
      </c>
      <c r="G51" s="2"/>
      <c r="H51" s="7">
        <v>108.52</v>
      </c>
      <c r="I51" s="2"/>
      <c r="J51" s="6">
        <f t="shared" si="39"/>
        <v>0</v>
      </c>
      <c r="K51" s="2"/>
      <c r="L51" s="7">
        <f t="shared" si="40"/>
        <v>-0.73999999999999488</v>
      </c>
      <c r="M51" s="2"/>
      <c r="N51" s="6">
        <f t="shared" si="41"/>
        <v>-6.8190195355694334E-3</v>
      </c>
      <c r="O51" s="11"/>
      <c r="P51" s="7">
        <v>107.78</v>
      </c>
      <c r="Q51" s="2"/>
      <c r="R51" s="6">
        <f t="shared" si="42"/>
        <v>4.7608215045309085E-3</v>
      </c>
      <c r="S51" s="2"/>
      <c r="T51" s="7">
        <v>187.12</v>
      </c>
      <c r="U51" s="2"/>
      <c r="V51" s="6">
        <f t="shared" si="43"/>
        <v>0</v>
      </c>
      <c r="W51" s="2"/>
      <c r="X51" s="7">
        <f t="shared" si="44"/>
        <v>-79.34</v>
      </c>
      <c r="Y51" s="2"/>
      <c r="Z51" s="6">
        <f t="shared" si="45"/>
        <v>-0.42400598546387347</v>
      </c>
    </row>
    <row r="52" spans="1:26" s="24" customFormat="1" hidden="1" outlineLevel="2" x14ac:dyDescent="0.25">
      <c r="A52" s="28"/>
      <c r="B52" s="11" t="str">
        <f>CONCATENATE("          ", "6375", " - ", "OUTSIDE REPAIRS &amp; MAINTENANCE")</f>
        <v xml:space="preserve">          6375 - OUTSIDE REPAIRS &amp; MAINTENANCE</v>
      </c>
      <c r="C52" s="11"/>
      <c r="D52" s="7"/>
      <c r="E52" s="2"/>
      <c r="F52" s="6">
        <f t="shared" si="38"/>
        <v>0</v>
      </c>
      <c r="G52" s="2"/>
      <c r="H52" s="7"/>
      <c r="I52" s="2"/>
      <c r="J52" s="6">
        <f t="shared" si="39"/>
        <v>0</v>
      </c>
      <c r="K52" s="2"/>
      <c r="L52" s="7">
        <f t="shared" si="40"/>
        <v>0</v>
      </c>
      <c r="M52" s="2"/>
      <c r="N52" s="6">
        <f t="shared" si="41"/>
        <v>0</v>
      </c>
      <c r="O52" s="11"/>
      <c r="P52" s="7">
        <v>1922.99</v>
      </c>
      <c r="Q52" s="2"/>
      <c r="R52" s="6">
        <f t="shared" si="42"/>
        <v>8.4941660280180853E-2</v>
      </c>
      <c r="S52" s="2"/>
      <c r="T52" s="7"/>
      <c r="U52" s="2"/>
      <c r="V52" s="6">
        <f t="shared" si="43"/>
        <v>0</v>
      </c>
      <c r="W52" s="2"/>
      <c r="X52" s="7">
        <f t="shared" si="44"/>
        <v>1922.99</v>
      </c>
      <c r="Y52" s="2"/>
      <c r="Z52" s="6">
        <f t="shared" si="45"/>
        <v>0</v>
      </c>
    </row>
    <row r="53" spans="1:26" s="27" customFormat="1" outlineLevel="1" collapsed="1" x14ac:dyDescent="0.25">
      <c r="A53" s="29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SUM(OSRRefD22_10x_0)</f>
        <v>272.27999999999997</v>
      </c>
      <c r="E53" s="1"/>
      <c r="F53" s="5">
        <f t="shared" ref="F53:F56" si="46">IF(D$12=0,0,D53/D$12)</f>
        <v>1.6907432613684908E-2</v>
      </c>
      <c r="G53" s="1"/>
      <c r="H53" s="1">
        <f>SUM(OSRRefH22_10x_0)</f>
        <v>0</v>
      </c>
      <c r="I53" s="1"/>
      <c r="J53" s="5">
        <f t="shared" ref="J53:J56" si="47">IF(H$12=0,0,H53/H$12)</f>
        <v>0</v>
      </c>
      <c r="K53" s="1"/>
      <c r="L53" s="1">
        <f t="shared" ref="L53:L56" si="48">+D53-H53</f>
        <v>272.27999999999997</v>
      </c>
      <c r="M53" s="1"/>
      <c r="N53" s="5">
        <f t="shared" ref="N53:N56" si="49">IF(H53=0,0,L53/H53)</f>
        <v>0</v>
      </c>
      <c r="O53" s="14"/>
      <c r="P53" s="1">
        <f>SUM(OSRRefP22_10x_0)</f>
        <v>7670.2000000000007</v>
      </c>
      <c r="Q53" s="1"/>
      <c r="R53" s="5">
        <f t="shared" ref="R53:R56" si="50">IF(P$12=0,0,P53/P$12)</f>
        <v>0.33880546580119669</v>
      </c>
      <c r="S53" s="1"/>
      <c r="T53" s="1">
        <f>SUM(OSRRefT22_10x_0)</f>
        <v>0</v>
      </c>
      <c r="U53" s="1"/>
      <c r="V53" s="5">
        <f t="shared" ref="V53:V56" si="51">IF(T$12=0,0,T53/T$12)</f>
        <v>0</v>
      </c>
      <c r="W53" s="1"/>
      <c r="X53" s="1">
        <f t="shared" ref="X53:X56" si="52">+P53-T53</f>
        <v>7670.2000000000007</v>
      </c>
      <c r="Y53" s="1"/>
      <c r="Z53" s="5">
        <f t="shared" ref="Z53:Z56" si="53">IF(T53=0,0,X53/T53)</f>
        <v>0</v>
      </c>
    </row>
    <row r="54" spans="1:26" s="24" customFormat="1" hidden="1" outlineLevel="2" x14ac:dyDescent="0.25">
      <c r="A54" s="28"/>
      <c r="B54" s="11" t="str">
        <f>CONCATENATE("          ", "6282", " - ", "JANITORIAL/EXTERMINATOR EXPENS")</f>
        <v xml:space="preserve">          6282 - JANITORIAL/EXTERMINATOR EXPENS</v>
      </c>
      <c r="C54" s="11"/>
      <c r="D54" s="7">
        <v>168.4</v>
      </c>
      <c r="E54" s="2"/>
      <c r="F54" s="6">
        <f t="shared" si="46"/>
        <v>1.0456925415544804E-2</v>
      </c>
      <c r="G54" s="2"/>
      <c r="H54" s="7"/>
      <c r="I54" s="2"/>
      <c r="J54" s="6">
        <f t="shared" si="47"/>
        <v>0</v>
      </c>
      <c r="K54" s="2"/>
      <c r="L54" s="7">
        <f t="shared" si="48"/>
        <v>168.4</v>
      </c>
      <c r="M54" s="2"/>
      <c r="N54" s="6">
        <f t="shared" si="49"/>
        <v>0</v>
      </c>
      <c r="O54" s="11"/>
      <c r="P54" s="7">
        <v>336.8</v>
      </c>
      <c r="Q54" s="2"/>
      <c r="R54" s="6">
        <f t="shared" si="50"/>
        <v>1.487701505591028E-2</v>
      </c>
      <c r="S54" s="2"/>
      <c r="T54" s="7"/>
      <c r="U54" s="2"/>
      <c r="V54" s="6">
        <f t="shared" si="51"/>
        <v>0</v>
      </c>
      <c r="W54" s="2"/>
      <c r="X54" s="7">
        <f t="shared" si="52"/>
        <v>336.8</v>
      </c>
      <c r="Y54" s="2"/>
      <c r="Z54" s="6">
        <f t="shared" si="53"/>
        <v>0</v>
      </c>
    </row>
    <row r="55" spans="1:26" s="24" customFormat="1" hidden="1" outlineLevel="2" x14ac:dyDescent="0.25">
      <c r="A55" s="28"/>
      <c r="B55" s="11" t="str">
        <f>CONCATENATE("          ", "6285", " - ", "JANITORIAL SERVICES")</f>
        <v xml:space="preserve">          6285 - JANITORIAL SERVICES</v>
      </c>
      <c r="C55" s="11"/>
      <c r="D55" s="7">
        <v>51.94</v>
      </c>
      <c r="E55" s="2"/>
      <c r="F55" s="6">
        <f t="shared" si="46"/>
        <v>3.225253599070054E-3</v>
      </c>
      <c r="G55" s="2"/>
      <c r="H55" s="7"/>
      <c r="I55" s="2"/>
      <c r="J55" s="6">
        <f t="shared" si="47"/>
        <v>0</v>
      </c>
      <c r="K55" s="2"/>
      <c r="L55" s="7">
        <f t="shared" si="48"/>
        <v>51.94</v>
      </c>
      <c r="M55" s="2"/>
      <c r="N55" s="6">
        <f t="shared" si="49"/>
        <v>0</v>
      </c>
      <c r="O55" s="11"/>
      <c r="P55" s="7">
        <v>7229.52</v>
      </c>
      <c r="Q55" s="2"/>
      <c r="R55" s="6">
        <f t="shared" si="50"/>
        <v>0.3193398987143839</v>
      </c>
      <c r="S55" s="2"/>
      <c r="T55" s="7"/>
      <c r="U55" s="2"/>
      <c r="V55" s="6">
        <f t="shared" si="51"/>
        <v>0</v>
      </c>
      <c r="W55" s="2"/>
      <c r="X55" s="7">
        <f t="shared" si="52"/>
        <v>7229.52</v>
      </c>
      <c r="Y55" s="2"/>
      <c r="Z55" s="6">
        <f t="shared" si="53"/>
        <v>0</v>
      </c>
    </row>
    <row r="56" spans="1:26" s="24" customFormat="1" hidden="1" outlineLevel="2" x14ac:dyDescent="0.25">
      <c r="A56" s="28"/>
      <c r="B56" s="11" t="str">
        <f>CONCATENATE("          ", "6286", " - ", "LAUNDRY EXPENSE")</f>
        <v xml:space="preserve">          6286 - LAUNDRY EXPENSE</v>
      </c>
      <c r="C56" s="11"/>
      <c r="D56" s="7">
        <v>51.94</v>
      </c>
      <c r="E56" s="2"/>
      <c r="F56" s="6">
        <f t="shared" si="46"/>
        <v>3.225253599070054E-3</v>
      </c>
      <c r="G56" s="2"/>
      <c r="H56" s="7"/>
      <c r="I56" s="2"/>
      <c r="J56" s="6">
        <f t="shared" si="47"/>
        <v>0</v>
      </c>
      <c r="K56" s="2"/>
      <c r="L56" s="7">
        <f t="shared" si="48"/>
        <v>51.94</v>
      </c>
      <c r="M56" s="2"/>
      <c r="N56" s="6">
        <f t="shared" si="49"/>
        <v>0</v>
      </c>
      <c r="O56" s="11"/>
      <c r="P56" s="7">
        <v>103.88</v>
      </c>
      <c r="Q56" s="2"/>
      <c r="R56" s="6">
        <f t="shared" si="50"/>
        <v>4.5885520309024933E-3</v>
      </c>
      <c r="S56" s="2"/>
      <c r="T56" s="7"/>
      <c r="U56" s="2"/>
      <c r="V56" s="6">
        <f t="shared" si="51"/>
        <v>0</v>
      </c>
      <c r="W56" s="2"/>
      <c r="X56" s="7">
        <f t="shared" si="52"/>
        <v>103.88</v>
      </c>
      <c r="Y56" s="2"/>
      <c r="Z56" s="6">
        <f t="shared" si="53"/>
        <v>0</v>
      </c>
    </row>
    <row r="57" spans="1:26" s="27" customFormat="1" outlineLevel="1" collapsed="1" x14ac:dyDescent="0.25">
      <c r="A57" s="29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SUM(OSRRefD22_11x_0)</f>
        <v>177.2</v>
      </c>
      <c r="E57" s="1"/>
      <c r="F57" s="5">
        <f t="shared" ref="F57:F61" si="54">IF(D$12=0,0,D57/D$12)</f>
        <v>1.1003368073839306E-2</v>
      </c>
      <c r="G57" s="1"/>
      <c r="H57" s="1">
        <f>SUM(OSRRefH22_11x_0)</f>
        <v>634.24</v>
      </c>
      <c r="I57" s="1"/>
      <c r="J57" s="5">
        <f t="shared" ref="J57:J61" si="55">IF(H$12=0,0,H57/H$12)</f>
        <v>0</v>
      </c>
      <c r="K57" s="1"/>
      <c r="L57" s="1">
        <f t="shared" ref="L57:L61" si="56">+D57-H57</f>
        <v>-457.04</v>
      </c>
      <c r="M57" s="1"/>
      <c r="N57" s="5">
        <f t="shared" ref="N57:N61" si="57">IF(H57=0,0,L57/H57)</f>
        <v>-0.72061049445005043</v>
      </c>
      <c r="O57" s="14"/>
      <c r="P57" s="1">
        <f>SUM(OSRRefP22_11x_0)</f>
        <v>977.06</v>
      </c>
      <c r="Q57" s="1"/>
      <c r="R57" s="5">
        <f t="shared" ref="R57:R61" si="58">IF(P$12=0,0,P57/P$12)</f>
        <v>4.3158362026507413E-2</v>
      </c>
      <c r="S57" s="1"/>
      <c r="T57" s="1">
        <f>SUM(OSRRefT22_11x_0)</f>
        <v>634.24</v>
      </c>
      <c r="U57" s="1"/>
      <c r="V57" s="5">
        <f t="shared" ref="V57:V61" si="59">IF(T$12=0,0,T57/T$12)</f>
        <v>0</v>
      </c>
      <c r="W57" s="1"/>
      <c r="X57" s="1">
        <f t="shared" ref="X57:X61" si="60">+P57-T57</f>
        <v>342.81999999999994</v>
      </c>
      <c r="Y57" s="1"/>
      <c r="Z57" s="5">
        <f t="shared" ref="Z57:Z61" si="61">IF(T57=0,0,X57/T57)</f>
        <v>0.54052093844601401</v>
      </c>
    </row>
    <row r="58" spans="1:26" s="24" customFormat="1" hidden="1" outlineLevel="2" x14ac:dyDescent="0.25">
      <c r="A58" s="28"/>
      <c r="B58" s="11" t="str">
        <f>CONCATENATE("          ", "6234", " - ", "EXPENDABLE SUPPLIES &amp; EQUIPMEN")</f>
        <v xml:space="preserve">          6234 - EXPENDABLE SUPPLIES &amp; EQUIPMEN</v>
      </c>
      <c r="C58" s="11"/>
      <c r="D58" s="7"/>
      <c r="E58" s="2"/>
      <c r="F58" s="6">
        <f t="shared" si="54"/>
        <v>0</v>
      </c>
      <c r="G58" s="2"/>
      <c r="H58" s="7">
        <v>316.67</v>
      </c>
      <c r="I58" s="2"/>
      <c r="J58" s="6">
        <f t="shared" si="55"/>
        <v>0</v>
      </c>
      <c r="K58" s="2"/>
      <c r="L58" s="7">
        <f t="shared" si="56"/>
        <v>-316.67</v>
      </c>
      <c r="M58" s="2"/>
      <c r="N58" s="6">
        <f t="shared" si="57"/>
        <v>-1</v>
      </c>
      <c r="O58" s="11"/>
      <c r="P58" s="7"/>
      <c r="Q58" s="2"/>
      <c r="R58" s="6">
        <f t="shared" si="58"/>
        <v>0</v>
      </c>
      <c r="S58" s="2"/>
      <c r="T58" s="7">
        <v>316.67</v>
      </c>
      <c r="U58" s="2"/>
      <c r="V58" s="6">
        <f t="shared" si="59"/>
        <v>0</v>
      </c>
      <c r="W58" s="2"/>
      <c r="X58" s="7">
        <f t="shared" si="60"/>
        <v>-316.67</v>
      </c>
      <c r="Y58" s="2"/>
      <c r="Z58" s="6">
        <f t="shared" si="61"/>
        <v>-1</v>
      </c>
    </row>
    <row r="59" spans="1:26" s="24" customFormat="1" hidden="1" outlineLevel="2" x14ac:dyDescent="0.25">
      <c r="A59" s="28"/>
      <c r="B59" s="11" t="str">
        <f>CONCATENATE("          ", "6237", " - ", "JANITORIAL SUPPLIES")</f>
        <v xml:space="preserve">          6237 - JANITORIAL SUPPLIES</v>
      </c>
      <c r="C59" s="11"/>
      <c r="D59" s="7">
        <v>119.22</v>
      </c>
      <c r="E59" s="2"/>
      <c r="F59" s="6">
        <f t="shared" si="54"/>
        <v>7.403056104758025E-3</v>
      </c>
      <c r="G59" s="2"/>
      <c r="H59" s="7">
        <v>317.57</v>
      </c>
      <c r="I59" s="2"/>
      <c r="J59" s="6">
        <f t="shared" si="55"/>
        <v>0</v>
      </c>
      <c r="K59" s="2"/>
      <c r="L59" s="7">
        <f t="shared" si="56"/>
        <v>-198.35</v>
      </c>
      <c r="M59" s="2"/>
      <c r="N59" s="6">
        <f t="shared" si="57"/>
        <v>-0.62458670529332116</v>
      </c>
      <c r="O59" s="11"/>
      <c r="P59" s="7">
        <v>488.84</v>
      </c>
      <c r="Q59" s="2"/>
      <c r="R59" s="6">
        <f t="shared" si="58"/>
        <v>2.1592874227824171E-2</v>
      </c>
      <c r="S59" s="2"/>
      <c r="T59" s="7">
        <v>317.57</v>
      </c>
      <c r="U59" s="2"/>
      <c r="V59" s="6">
        <f t="shared" si="59"/>
        <v>0</v>
      </c>
      <c r="W59" s="2"/>
      <c r="X59" s="7">
        <f t="shared" si="60"/>
        <v>171.26999999999998</v>
      </c>
      <c r="Y59" s="2"/>
      <c r="Z59" s="6">
        <f t="shared" si="61"/>
        <v>0.53931416695531686</v>
      </c>
    </row>
    <row r="60" spans="1:26" s="24" customFormat="1" hidden="1" outlineLevel="2" x14ac:dyDescent="0.25">
      <c r="A60" s="28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54"/>
        <v>0</v>
      </c>
      <c r="G60" s="2"/>
      <c r="H60" s="7"/>
      <c r="I60" s="2"/>
      <c r="J60" s="6">
        <f t="shared" si="55"/>
        <v>0</v>
      </c>
      <c r="K60" s="2"/>
      <c r="L60" s="7">
        <f t="shared" si="56"/>
        <v>0</v>
      </c>
      <c r="M60" s="2"/>
      <c r="N60" s="6">
        <f t="shared" si="57"/>
        <v>0</v>
      </c>
      <c r="O60" s="11"/>
      <c r="P60" s="7">
        <v>130.24</v>
      </c>
      <c r="Q60" s="2"/>
      <c r="R60" s="6">
        <f t="shared" si="58"/>
        <v>5.7529169859909593E-3</v>
      </c>
      <c r="S60" s="2"/>
      <c r="T60" s="7"/>
      <c r="U60" s="2"/>
      <c r="V60" s="6">
        <f t="shared" si="59"/>
        <v>0</v>
      </c>
      <c r="W60" s="2"/>
      <c r="X60" s="7">
        <f t="shared" si="60"/>
        <v>130.24</v>
      </c>
      <c r="Y60" s="2"/>
      <c r="Z60" s="6">
        <f t="shared" si="61"/>
        <v>0</v>
      </c>
    </row>
    <row r="61" spans="1:26" s="24" customFormat="1" hidden="1" outlineLevel="2" x14ac:dyDescent="0.25">
      <c r="A61" s="28"/>
      <c r="B61" s="11" t="str">
        <f>CONCATENATE("          ", "6247", " - ", "STORE SUPPLIES")</f>
        <v xml:space="preserve">          6247 - STORE SUPPLIES</v>
      </c>
      <c r="C61" s="11"/>
      <c r="D61" s="7">
        <v>57.98</v>
      </c>
      <c r="E61" s="2"/>
      <c r="F61" s="6">
        <f t="shared" si="54"/>
        <v>3.6003119690812806E-3</v>
      </c>
      <c r="G61" s="2"/>
      <c r="H61" s="7"/>
      <c r="I61" s="2"/>
      <c r="J61" s="6">
        <f t="shared" si="55"/>
        <v>0</v>
      </c>
      <c r="K61" s="2"/>
      <c r="L61" s="7">
        <f t="shared" si="56"/>
        <v>57.98</v>
      </c>
      <c r="M61" s="2"/>
      <c r="N61" s="6">
        <f t="shared" si="57"/>
        <v>0</v>
      </c>
      <c r="O61" s="11"/>
      <c r="P61" s="7">
        <v>357.98</v>
      </c>
      <c r="Q61" s="2"/>
      <c r="R61" s="6">
        <f t="shared" si="58"/>
        <v>1.5812570812692286E-2</v>
      </c>
      <c r="S61" s="2"/>
      <c r="T61" s="7"/>
      <c r="U61" s="2"/>
      <c r="V61" s="6">
        <f t="shared" si="59"/>
        <v>0</v>
      </c>
      <c r="W61" s="2"/>
      <c r="X61" s="7">
        <f t="shared" si="60"/>
        <v>357.98</v>
      </c>
      <c r="Y61" s="2"/>
      <c r="Z61" s="6">
        <f t="shared" si="61"/>
        <v>0</v>
      </c>
    </row>
    <row r="62" spans="1:26" s="27" customFormat="1" outlineLevel="1" collapsed="1" x14ac:dyDescent="0.25">
      <c r="A62" s="29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SUM(OSRRefD22_12x_0)</f>
        <v>294</v>
      </c>
      <c r="E62" s="1"/>
      <c r="F62" s="5">
        <f t="shared" ref="F62:F65" si="62">IF(D$12=0,0,D62/D$12)</f>
        <v>1.8256152447566343E-2</v>
      </c>
      <c r="G62" s="1"/>
      <c r="H62" s="1">
        <f>SUM(OSRRefH22_12x_0)</f>
        <v>40</v>
      </c>
      <c r="I62" s="1"/>
      <c r="J62" s="5">
        <f t="shared" ref="J62:J65" si="63">IF(H$12=0,0,H62/H$12)</f>
        <v>0</v>
      </c>
      <c r="K62" s="1"/>
      <c r="L62" s="1">
        <f t="shared" ref="L62:L65" si="64">+D62-H62</f>
        <v>254</v>
      </c>
      <c r="M62" s="1"/>
      <c r="N62" s="5">
        <f t="shared" ref="N62:N65" si="65">IF(H62=0,0,L62/H62)</f>
        <v>6.35</v>
      </c>
      <c r="O62" s="14"/>
      <c r="P62" s="1">
        <f>SUM(OSRRefP22_12x_0)</f>
        <v>423</v>
      </c>
      <c r="Q62" s="1"/>
      <c r="R62" s="5">
        <f t="shared" ref="R62:R65" si="66">IF(P$12=0,0,P62/P$12)</f>
        <v>1.8684612139697295E-2</v>
      </c>
      <c r="S62" s="1"/>
      <c r="T62" s="1">
        <f>SUM(OSRRefT22_12x_0)</f>
        <v>116</v>
      </c>
      <c r="U62" s="1"/>
      <c r="V62" s="5">
        <f t="shared" ref="V62:V65" si="67">IF(T$12=0,0,T62/T$12)</f>
        <v>0</v>
      </c>
      <c r="W62" s="1"/>
      <c r="X62" s="1">
        <f t="shared" ref="X62:X65" si="68">+P62-T62</f>
        <v>307</v>
      </c>
      <c r="Y62" s="1"/>
      <c r="Z62" s="5">
        <f t="shared" ref="Z62:Z65" si="69">IF(T62=0,0,X62/T62)</f>
        <v>2.646551724137931</v>
      </c>
    </row>
    <row r="63" spans="1:26" s="24" customFormat="1" hidden="1" outlineLevel="2" x14ac:dyDescent="0.25">
      <c r="A63" s="28"/>
      <c r="B63" s="11" t="str">
        <f>CONCATENATE("          ", "6309", " - ", "TELEPHONE")</f>
        <v xml:space="preserve">          6309 - TELEPHONE</v>
      </c>
      <c r="C63" s="11"/>
      <c r="D63" s="7">
        <v>294</v>
      </c>
      <c r="E63" s="2"/>
      <c r="F63" s="6">
        <f t="shared" si="62"/>
        <v>1.8256152447566343E-2</v>
      </c>
      <c r="G63" s="2"/>
      <c r="H63" s="7">
        <v>40</v>
      </c>
      <c r="I63" s="2"/>
      <c r="J63" s="6">
        <f t="shared" si="63"/>
        <v>0</v>
      </c>
      <c r="K63" s="2"/>
      <c r="L63" s="7">
        <f t="shared" si="64"/>
        <v>254</v>
      </c>
      <c r="M63" s="2"/>
      <c r="N63" s="6">
        <f t="shared" si="65"/>
        <v>6.35</v>
      </c>
      <c r="O63" s="11"/>
      <c r="P63" s="7">
        <v>423</v>
      </c>
      <c r="Q63" s="2"/>
      <c r="R63" s="6">
        <f t="shared" si="66"/>
        <v>1.8684612139697295E-2</v>
      </c>
      <c r="S63" s="2"/>
      <c r="T63" s="7">
        <v>116</v>
      </c>
      <c r="U63" s="2"/>
      <c r="V63" s="6">
        <f t="shared" si="67"/>
        <v>0</v>
      </c>
      <c r="W63" s="2"/>
      <c r="X63" s="7">
        <f t="shared" si="68"/>
        <v>307</v>
      </c>
      <c r="Y63" s="2"/>
      <c r="Z63" s="6">
        <f t="shared" si="69"/>
        <v>2.646551724137931</v>
      </c>
    </row>
    <row r="64" spans="1:26" s="27" customFormat="1" outlineLevel="1" collapsed="1" x14ac:dyDescent="0.25">
      <c r="A64" s="29"/>
      <c r="B64" s="14" t="str">
        <f>CONCATENATE("     ","Utilities                                         ")</f>
        <v xml:space="preserve">     Utilities                                         </v>
      </c>
      <c r="C64" s="14"/>
      <c r="D64" s="1">
        <f>SUM(OSRRefD22_13x_0)</f>
        <v>100</v>
      </c>
      <c r="E64" s="1"/>
      <c r="F64" s="5">
        <f t="shared" si="62"/>
        <v>6.2095756624375321E-3</v>
      </c>
      <c r="G64" s="1"/>
      <c r="H64" s="1">
        <f>SUM(OSRRefH22_13x_0)</f>
        <v>0</v>
      </c>
      <c r="I64" s="1"/>
      <c r="J64" s="5">
        <f t="shared" si="63"/>
        <v>0</v>
      </c>
      <c r="K64" s="1"/>
      <c r="L64" s="1">
        <f t="shared" si="64"/>
        <v>100</v>
      </c>
      <c r="M64" s="1"/>
      <c r="N64" s="5">
        <f t="shared" si="65"/>
        <v>0</v>
      </c>
      <c r="O64" s="14"/>
      <c r="P64" s="1">
        <f>SUM(OSRRefP22_13x_0)</f>
        <v>300</v>
      </c>
      <c r="Q64" s="1"/>
      <c r="R64" s="5">
        <f t="shared" si="66"/>
        <v>1.3251497971416521E-2</v>
      </c>
      <c r="S64" s="1"/>
      <c r="T64" s="1">
        <f>SUM(OSRRefT22_13x_0)</f>
        <v>0</v>
      </c>
      <c r="U64" s="1"/>
      <c r="V64" s="5">
        <f t="shared" si="67"/>
        <v>0</v>
      </c>
      <c r="W64" s="1"/>
      <c r="X64" s="1">
        <f t="shared" si="68"/>
        <v>300</v>
      </c>
      <c r="Y64" s="1"/>
      <c r="Z64" s="5">
        <f t="shared" si="69"/>
        <v>0</v>
      </c>
    </row>
    <row r="65" spans="1:26" s="24" customFormat="1" hidden="1" outlineLevel="2" x14ac:dyDescent="0.25">
      <c r="A65" s="28"/>
      <c r="B65" s="11" t="str">
        <f>CONCATENATE("          ", "6274", " - ", "UTILITIES")</f>
        <v xml:space="preserve">          6274 - UTILITIES</v>
      </c>
      <c r="C65" s="11"/>
      <c r="D65" s="7">
        <v>100</v>
      </c>
      <c r="E65" s="2"/>
      <c r="F65" s="6">
        <f t="shared" si="62"/>
        <v>6.2095756624375321E-3</v>
      </c>
      <c r="G65" s="2"/>
      <c r="H65" s="7"/>
      <c r="I65" s="2"/>
      <c r="J65" s="6">
        <f t="shared" si="63"/>
        <v>0</v>
      </c>
      <c r="K65" s="2"/>
      <c r="L65" s="7">
        <f t="shared" si="64"/>
        <v>100</v>
      </c>
      <c r="M65" s="2"/>
      <c r="N65" s="6">
        <f t="shared" si="65"/>
        <v>0</v>
      </c>
      <c r="O65" s="11"/>
      <c r="P65" s="7">
        <v>300</v>
      </c>
      <c r="Q65" s="2"/>
      <c r="R65" s="6">
        <f t="shared" si="66"/>
        <v>1.3251497971416521E-2</v>
      </c>
      <c r="S65" s="2"/>
      <c r="T65" s="7"/>
      <c r="U65" s="2"/>
      <c r="V65" s="6">
        <f t="shared" si="67"/>
        <v>0</v>
      </c>
      <c r="W65" s="2"/>
      <c r="X65" s="7">
        <f t="shared" si="68"/>
        <v>300</v>
      </c>
      <c r="Y65" s="2"/>
      <c r="Z65" s="6">
        <f t="shared" si="69"/>
        <v>0</v>
      </c>
    </row>
    <row r="66" spans="1:26" s="54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6" t="s">
        <v>292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5" t="s">
        <v>276</v>
      </c>
      <c r="C69" s="25"/>
      <c r="D69" s="21">
        <f>+D20-D22+D67</f>
        <v>-7923.8600000000024</v>
      </c>
      <c r="E69" s="13"/>
      <c r="F69" s="22">
        <f>IF(D$12=0,0,D69/D$12)</f>
        <v>-0.49203808208562277</v>
      </c>
      <c r="G69" s="13"/>
      <c r="H69" s="21">
        <f>+H20-H22+H67</f>
        <v>-10652.890000000001</v>
      </c>
      <c r="I69" s="13"/>
      <c r="J69" s="22">
        <f>IF(H$12=0,0,H69/H$12)</f>
        <v>0</v>
      </c>
      <c r="K69" s="16"/>
      <c r="L69" s="21">
        <f>+D69-H69</f>
        <v>2729.0299999999988</v>
      </c>
      <c r="M69" s="16"/>
      <c r="N69" s="22">
        <f>IF(H69=0,0,L69/H69)</f>
        <v>-0.25617743166408352</v>
      </c>
      <c r="O69" s="26"/>
      <c r="P69" s="21">
        <f>+P20-P22+P67</f>
        <v>-39439.329999999994</v>
      </c>
      <c r="Q69" s="13"/>
      <c r="R69" s="22">
        <f>IF(P$12=0,0,P69/P$12)</f>
        <v>-1.7421006716300889</v>
      </c>
      <c r="S69" s="13"/>
      <c r="T69" s="21">
        <f>+T20-T22+T67</f>
        <v>-34387.060000000005</v>
      </c>
      <c r="U69" s="13"/>
      <c r="V69" s="22">
        <f>IF(T$12=0,0,T69/T$12)</f>
        <v>0</v>
      </c>
      <c r="W69" s="16"/>
      <c r="X69" s="21">
        <f>+P69-T69</f>
        <v>-5052.2699999999895</v>
      </c>
      <c r="Y69" s="16"/>
      <c r="Z69" s="22">
        <f>IF(T69=0,0,X69/T69)</f>
        <v>0.14692358113778814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127</v>
      </c>
      <c r="C71" s="10"/>
      <c r="D71" s="4">
        <v>1825.64</v>
      </c>
      <c r="E71" s="4"/>
      <c r="F71" s="12">
        <f>IF(D$12=0,0,D71/D$12)</f>
        <v>0.11336449712372457</v>
      </c>
      <c r="G71" s="4"/>
      <c r="H71" s="4"/>
      <c r="I71" s="4"/>
      <c r="J71" s="12">
        <f>IF(H$12=0,0,H71/H$12)</f>
        <v>0</v>
      </c>
      <c r="K71" s="4"/>
      <c r="L71" s="4">
        <f>+D71-H71</f>
        <v>1825.64</v>
      </c>
      <c r="M71" s="4"/>
      <c r="N71" s="12">
        <f>IF(H71=0,0,L71/H71)</f>
        <v>0</v>
      </c>
      <c r="O71" s="10"/>
      <c r="P71" s="4">
        <v>2802.15</v>
      </c>
      <c r="Q71" s="4"/>
      <c r="R71" s="12">
        <f>IF(P$12=0,0,P71/P$12)</f>
        <v>0.12377561680201601</v>
      </c>
      <c r="S71" s="4"/>
      <c r="T71" s="4"/>
      <c r="U71" s="4"/>
      <c r="V71" s="12">
        <f>IF(T$12=0,0,T71/T$12)</f>
        <v>0</v>
      </c>
      <c r="W71" s="4"/>
      <c r="X71" s="4">
        <f>+P71-T71</f>
        <v>2802.15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5" t="s">
        <v>125</v>
      </c>
      <c r="C73" s="25"/>
      <c r="D73" s="33">
        <f>+D69-D71</f>
        <v>-9749.5000000000018</v>
      </c>
      <c r="E73" s="13"/>
      <c r="F73" s="35">
        <f>IF(D$12=0,0,D73/D$12)</f>
        <v>-0.60540257920934726</v>
      </c>
      <c r="G73" s="13"/>
      <c r="H73" s="33">
        <f>+H69-H71</f>
        <v>-10652.890000000001</v>
      </c>
      <c r="I73" s="13"/>
      <c r="J73" s="35">
        <f>IF(H$12=0,0,H73/H$12)</f>
        <v>0</v>
      </c>
      <c r="K73" s="16"/>
      <c r="L73" s="33">
        <f>D73-H73</f>
        <v>903.38999999999942</v>
      </c>
      <c r="M73" s="16"/>
      <c r="N73" s="35">
        <f>IF(H73=0,0,L73/H73)</f>
        <v>-8.4802340022284969E-2</v>
      </c>
      <c r="O73" s="26"/>
      <c r="P73" s="33">
        <f>+P69-P71</f>
        <v>-42241.479999999996</v>
      </c>
      <c r="Q73" s="13"/>
      <c r="R73" s="35">
        <f>IF(P$12=0,0,P73/P$12)</f>
        <v>-1.865876288432105</v>
      </c>
      <c r="S73" s="13"/>
      <c r="T73" s="33">
        <f>+T69-T71</f>
        <v>-34387.060000000005</v>
      </c>
      <c r="U73" s="13"/>
      <c r="V73" s="35">
        <f>IF(T$12=0,0,T73/T$12)</f>
        <v>0</v>
      </c>
      <c r="W73" s="16"/>
      <c r="X73" s="33">
        <f>P73-T73</f>
        <v>-7854.419999999991</v>
      </c>
      <c r="Y73" s="16"/>
      <c r="Z73" s="35">
        <f>IF(T73=0,0,X73/T73)</f>
        <v>0.22841208291723661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5" t="s">
        <v>293</v>
      </c>
      <c r="C76" s="25"/>
      <c r="D76" s="31">
        <f>SUM(D73:D75)</f>
        <v>-9749.5000000000018</v>
      </c>
      <c r="E76" s="13"/>
      <c r="F76" s="32">
        <f>IF(D$12=0,0,D76/D$12)</f>
        <v>-0.60540257920934726</v>
      </c>
      <c r="G76" s="13"/>
      <c r="H76" s="31">
        <f>SUM(H73:H75)</f>
        <v>-10652.890000000001</v>
      </c>
      <c r="I76" s="13"/>
      <c r="J76" s="32">
        <f>IF(H$12=0,0,H76/H$12)</f>
        <v>0</v>
      </c>
      <c r="K76" s="16"/>
      <c r="L76" s="31">
        <f>+D76-H76</f>
        <v>903.38999999999942</v>
      </c>
      <c r="M76" s="16"/>
      <c r="N76" s="32">
        <f>IF(H76=0,0,L76/H76)</f>
        <v>-8.4802340022284969E-2</v>
      </c>
      <c r="O76" s="26"/>
      <c r="P76" s="31">
        <f>SUM(P73:P75)</f>
        <v>-42241.479999999996</v>
      </c>
      <c r="Q76" s="13"/>
      <c r="R76" s="32">
        <f>IF(P$12=0,0,P76/P$12)</f>
        <v>-1.865876288432105</v>
      </c>
      <c r="S76" s="13"/>
      <c r="T76" s="31">
        <f>SUM(T73:T75)</f>
        <v>-34387.060000000005</v>
      </c>
      <c r="U76" s="13"/>
      <c r="V76" s="32">
        <f>IF(T$12=0,0,T76/T$12)</f>
        <v>0</v>
      </c>
      <c r="W76" s="16"/>
      <c r="X76" s="31">
        <f>+P76-T76</f>
        <v>-7854.419999999991</v>
      </c>
      <c r="Y76" s="16"/>
      <c r="Z76" s="32">
        <f>IF(T76=0,0,X76/T76)</f>
        <v>0.22841208291723661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8">
        <v>44481.985668518515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3" t="s">
        <v>56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2"/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4:24" x14ac:dyDescent="0.25"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","327", " - ", "C-Store Vending Machine(s)")</f>
        <v>Department 327 - C-Store Vending Machine(s)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8.7400000000000091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8.7400000000000091</v>
      </c>
      <c r="M12" s="4"/>
      <c r="N12" s="12">
        <f t="shared" ref="N12:N14" si="1">IF(H12=0,0,L12/H12)</f>
        <v>0</v>
      </c>
      <c r="O12" s="10"/>
      <c r="P12" s="4">
        <f>SUM(OSRRefP13x_0)</f>
        <v>139.09</v>
      </c>
      <c r="Q12" s="4"/>
      <c r="R12" s="12"/>
      <c r="S12" s="4"/>
      <c r="T12" s="4">
        <f>SUM(OSRRefT13x_0)</f>
        <v>110</v>
      </c>
      <c r="U12" s="4"/>
      <c r="V12" s="12"/>
      <c r="W12" s="4"/>
      <c r="X12" s="4">
        <f t="shared" ref="X12:X14" si="2">+P12-T12</f>
        <v>29.090000000000003</v>
      </c>
      <c r="Y12" s="4"/>
      <c r="Z12" s="12">
        <f t="shared" ref="Z12:Z14" si="3">IF(T12=0,0,X12/T12)</f>
        <v>0.2644545454545455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--139.09</f>
        <v>139.09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139.09</v>
      </c>
      <c r="M13" s="2"/>
      <c r="N13" s="19">
        <f t="shared" si="1"/>
        <v>0</v>
      </c>
      <c r="O13" s="11"/>
      <c r="P13" s="2">
        <f>--139.09</f>
        <v>139.09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139.09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-130.35</f>
        <v>-130.35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-130.35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--110</f>
        <v>110</v>
      </c>
      <c r="U14" s="2"/>
      <c r="V14" s="19"/>
      <c r="W14" s="2"/>
      <c r="X14" s="2">
        <f t="shared" si="2"/>
        <v>-110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256</v>
      </c>
      <c r="C16" s="10"/>
      <c r="D16" s="4">
        <f>SUM(OSRRefD16x_0)</f>
        <v>81.2</v>
      </c>
      <c r="E16" s="4"/>
      <c r="F16" s="12">
        <f t="shared" ref="F16:F18" si="5">IF(D$12=0,0,D16/D$12)</f>
        <v>9.2906178489702427</v>
      </c>
      <c r="G16" s="4"/>
      <c r="H16" s="4">
        <f>SUM(OSRRefH16x_0)</f>
        <v>0</v>
      </c>
      <c r="I16" s="4"/>
      <c r="J16" s="12">
        <f t="shared" ref="J16:J18" si="6">IF(H$12=0,0,H16/H$12)</f>
        <v>0</v>
      </c>
      <c r="K16" s="4"/>
      <c r="L16" s="4">
        <f t="shared" ref="L16:L18" si="7">+D16-H16</f>
        <v>81.2</v>
      </c>
      <c r="M16" s="4"/>
      <c r="N16" s="12">
        <f t="shared" ref="N16:N18" si="8">IF(H16=0,0,L16/H16)</f>
        <v>0</v>
      </c>
      <c r="O16" s="10"/>
      <c r="P16" s="4">
        <f>SUM(OSRRefP16x_0)</f>
        <v>126.2</v>
      </c>
      <c r="Q16" s="4"/>
      <c r="R16" s="12">
        <f t="shared" ref="R16:R18" si="9">IF(P$12=0,0,P16/P$12)</f>
        <v>0.90732619167445538</v>
      </c>
      <c r="S16" s="4"/>
      <c r="T16" s="4">
        <f>SUM(OSRRefT16x_0)</f>
        <v>68.91</v>
      </c>
      <c r="U16" s="4"/>
      <c r="V16" s="12">
        <f t="shared" ref="V16:V18" si="10">IF(T$12=0,0,T16/T$12)</f>
        <v>0.62645454545454538</v>
      </c>
      <c r="W16" s="4"/>
      <c r="X16" s="4">
        <f t="shared" ref="X16:X18" si="11">+P16-T16</f>
        <v>57.290000000000006</v>
      </c>
      <c r="Y16" s="4"/>
      <c r="Z16" s="12">
        <f t="shared" ref="Z16:Z18" si="12">IF(T16=0,0,X16/T16)</f>
        <v>0.83137425627630257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/>
      <c r="I17" s="2"/>
      <c r="J17" s="19">
        <f t="shared" si="6"/>
        <v>0</v>
      </c>
      <c r="K17" s="2"/>
      <c r="L17" s="2">
        <f t="shared" si="7"/>
        <v>0</v>
      </c>
      <c r="M17" s="2"/>
      <c r="N17" s="19">
        <f t="shared" si="8"/>
        <v>0</v>
      </c>
      <c r="O17" s="11"/>
      <c r="P17" s="2">
        <v>45</v>
      </c>
      <c r="Q17" s="2"/>
      <c r="R17" s="19">
        <f t="shared" si="9"/>
        <v>0.32353152634984539</v>
      </c>
      <c r="S17" s="2"/>
      <c r="T17" s="2"/>
      <c r="U17" s="2"/>
      <c r="V17" s="19">
        <f t="shared" si="10"/>
        <v>0</v>
      </c>
      <c r="W17" s="2"/>
      <c r="X17" s="2">
        <f t="shared" si="11"/>
        <v>45</v>
      </c>
      <c r="Y17" s="2"/>
      <c r="Z17" s="19">
        <f t="shared" si="12"/>
        <v>0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81.2</v>
      </c>
      <c r="E18" s="2"/>
      <c r="F18" s="19">
        <f t="shared" si="5"/>
        <v>9.2906178489702427</v>
      </c>
      <c r="G18" s="2"/>
      <c r="H18" s="2"/>
      <c r="I18" s="2"/>
      <c r="J18" s="19">
        <f t="shared" si="6"/>
        <v>0</v>
      </c>
      <c r="K18" s="2"/>
      <c r="L18" s="2">
        <f t="shared" si="7"/>
        <v>81.2</v>
      </c>
      <c r="M18" s="2"/>
      <c r="N18" s="19">
        <f t="shared" si="8"/>
        <v>0</v>
      </c>
      <c r="O18" s="11"/>
      <c r="P18" s="2">
        <v>81.2</v>
      </c>
      <c r="Q18" s="2"/>
      <c r="R18" s="19">
        <f t="shared" si="9"/>
        <v>0.58379466532461</v>
      </c>
      <c r="S18" s="2"/>
      <c r="T18" s="2">
        <v>68.91</v>
      </c>
      <c r="U18" s="2"/>
      <c r="V18" s="19">
        <f t="shared" si="10"/>
        <v>0.62645454545454538</v>
      </c>
      <c r="W18" s="2"/>
      <c r="X18" s="2">
        <f t="shared" si="11"/>
        <v>12.290000000000006</v>
      </c>
      <c r="Y18" s="2"/>
      <c r="Z18" s="19">
        <f t="shared" si="12"/>
        <v>0.17834857059933257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107</v>
      </c>
      <c r="C20" s="25"/>
      <c r="D20" s="21">
        <f>D12-D16</f>
        <v>-72.459999999999994</v>
      </c>
      <c r="E20" s="13"/>
      <c r="F20" s="22">
        <f>IF(D$12=0,0,D20/D$12)</f>
        <v>-8.2906178489702427</v>
      </c>
      <c r="G20" s="13"/>
      <c r="H20" s="21">
        <f>H12-H16</f>
        <v>0</v>
      </c>
      <c r="I20" s="13"/>
      <c r="J20" s="22">
        <f>IF(H$12=0,0,H20/H$12)</f>
        <v>0</v>
      </c>
      <c r="K20" s="16"/>
      <c r="L20" s="21">
        <f>+D20-H20</f>
        <v>-72.459999999999994</v>
      </c>
      <c r="M20" s="16"/>
      <c r="N20" s="22">
        <f>IF(H20=0,0,L20/H20)</f>
        <v>0</v>
      </c>
      <c r="O20" s="26"/>
      <c r="P20" s="21">
        <f>P12-P16</f>
        <v>12.89</v>
      </c>
      <c r="Q20" s="13"/>
      <c r="R20" s="22">
        <f>IF(P$12=0,0,P20/P$12)</f>
        <v>9.2673808325544615E-2</v>
      </c>
      <c r="S20" s="13"/>
      <c r="T20" s="21">
        <f>T12-T16</f>
        <v>41.09</v>
      </c>
      <c r="U20" s="13"/>
      <c r="V20" s="22">
        <f>IF(T$12=0,0,T20/T$12)</f>
        <v>0.37354545454545457</v>
      </c>
      <c r="W20" s="16"/>
      <c r="X20" s="21">
        <f>+P20-T20</f>
        <v>-28.200000000000003</v>
      </c>
      <c r="Y20" s="16"/>
      <c r="Z20" s="22">
        <f>IF(T20=0,0,X20/T20)</f>
        <v>-0.68629836943295208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294</v>
      </c>
      <c r="C22" s="10"/>
      <c r="D22" s="20">
        <f>SUM(OSRRefD22x_0)</f>
        <v>172.64</v>
      </c>
      <c r="E22" s="20"/>
      <c r="F22" s="30">
        <f t="shared" ref="F22:F24" si="13">IF(D$12=0,0,D22/D$12)</f>
        <v>19.752860411899292</v>
      </c>
      <c r="G22" s="20"/>
      <c r="H22" s="20">
        <f>SUM(OSRRefH22x_0)</f>
        <v>0</v>
      </c>
      <c r="I22" s="20"/>
      <c r="J22" s="30">
        <f t="shared" ref="J22:J24" si="14">IF(H$12=0,0,H22/H$12)</f>
        <v>0</v>
      </c>
      <c r="K22" s="4"/>
      <c r="L22" s="20">
        <f t="shared" ref="L22:L24" si="15">+D22-H22</f>
        <v>172.64</v>
      </c>
      <c r="M22" s="4"/>
      <c r="N22" s="30">
        <f t="shared" ref="N22:N24" si="16">IF(H22=0,0,L22/H22)</f>
        <v>0</v>
      </c>
      <c r="O22" s="10"/>
      <c r="P22" s="20">
        <f>SUM(OSRRefP22x_0)</f>
        <v>172.64</v>
      </c>
      <c r="Q22" s="20"/>
      <c r="R22" s="30">
        <f t="shared" ref="R22:R24" si="17">IF(P$12=0,0,P22/P$12)</f>
        <v>1.2412107268674957</v>
      </c>
      <c r="S22" s="20"/>
      <c r="T22" s="20">
        <f>SUM(OSRRefT22x_0)</f>
        <v>0</v>
      </c>
      <c r="U22" s="20"/>
      <c r="V22" s="30">
        <f t="shared" ref="V22:V24" si="18">IF(T$12=0,0,T22/T$12)</f>
        <v>0</v>
      </c>
      <c r="W22" s="4"/>
      <c r="X22" s="20">
        <f t="shared" ref="X22:X24" si="19">+P22-T22</f>
        <v>172.64</v>
      </c>
      <c r="Y22" s="4"/>
      <c r="Z22" s="30">
        <f t="shared" ref="Z22:Z24" si="20">IF(T22=0,0,X22/T22)</f>
        <v>0</v>
      </c>
    </row>
    <row r="23" spans="1:26" s="27" customFormat="1" outlineLevel="1" collapsed="1" x14ac:dyDescent="0.25">
      <c r="A23" s="29"/>
      <c r="B23" s="14" t="str">
        <f>CONCATENATE("     ","Bank/card Fees                                    ")</f>
        <v xml:space="preserve">     Bank/card Fees                                    </v>
      </c>
      <c r="C23" s="14"/>
      <c r="D23" s="1">
        <f>SUM(OSRRefD22_0x_0)</f>
        <v>172.64</v>
      </c>
      <c r="E23" s="1"/>
      <c r="F23" s="5">
        <f t="shared" si="13"/>
        <v>19.752860411899292</v>
      </c>
      <c r="G23" s="1"/>
      <c r="H23" s="1">
        <f>SUM(OSRRefH22_0x_0)</f>
        <v>0</v>
      </c>
      <c r="I23" s="1"/>
      <c r="J23" s="5">
        <f t="shared" si="14"/>
        <v>0</v>
      </c>
      <c r="K23" s="1"/>
      <c r="L23" s="1">
        <f t="shared" si="15"/>
        <v>172.64</v>
      </c>
      <c r="M23" s="1"/>
      <c r="N23" s="5">
        <f t="shared" si="16"/>
        <v>0</v>
      </c>
      <c r="O23" s="14"/>
      <c r="P23" s="1">
        <f>SUM(OSRRefP22_0x_0)</f>
        <v>172.64</v>
      </c>
      <c r="Q23" s="1"/>
      <c r="R23" s="5">
        <f t="shared" si="17"/>
        <v>1.2412107268674957</v>
      </c>
      <c r="S23" s="1"/>
      <c r="T23" s="1">
        <f>SUM(OSRRefT22_0x_0)</f>
        <v>0</v>
      </c>
      <c r="U23" s="1"/>
      <c r="V23" s="5">
        <f t="shared" si="18"/>
        <v>0</v>
      </c>
      <c r="W23" s="1"/>
      <c r="X23" s="1">
        <f t="shared" si="19"/>
        <v>172.64</v>
      </c>
      <c r="Y23" s="1"/>
      <c r="Z23" s="5">
        <f t="shared" si="20"/>
        <v>0</v>
      </c>
    </row>
    <row r="24" spans="1:26" s="24" customFormat="1" hidden="1" outlineLevel="2" x14ac:dyDescent="0.25">
      <c r="A24" s="28"/>
      <c r="B24" s="11" t="str">
        <f>CONCATENATE("          ", "6381", " - ", "BANK/CREDIT CARD FEES")</f>
        <v xml:space="preserve">          6381 - BANK/CREDIT CARD FEES</v>
      </c>
      <c r="C24" s="11"/>
      <c r="D24" s="7">
        <v>172.64</v>
      </c>
      <c r="E24" s="2"/>
      <c r="F24" s="6">
        <f t="shared" si="13"/>
        <v>19.752860411899292</v>
      </c>
      <c r="G24" s="2"/>
      <c r="H24" s="7"/>
      <c r="I24" s="2"/>
      <c r="J24" s="6">
        <f t="shared" si="14"/>
        <v>0</v>
      </c>
      <c r="K24" s="2"/>
      <c r="L24" s="7">
        <f t="shared" si="15"/>
        <v>172.64</v>
      </c>
      <c r="M24" s="2"/>
      <c r="N24" s="6">
        <f t="shared" si="16"/>
        <v>0</v>
      </c>
      <c r="O24" s="11"/>
      <c r="P24" s="7">
        <v>172.64</v>
      </c>
      <c r="Q24" s="2"/>
      <c r="R24" s="6">
        <f t="shared" si="17"/>
        <v>1.2412107268674957</v>
      </c>
      <c r="S24" s="2"/>
      <c r="T24" s="7"/>
      <c r="U24" s="2"/>
      <c r="V24" s="6">
        <f t="shared" si="18"/>
        <v>0</v>
      </c>
      <c r="W24" s="2"/>
      <c r="X24" s="7">
        <f t="shared" si="19"/>
        <v>172.64</v>
      </c>
      <c r="Y24" s="2"/>
      <c r="Z24" s="6">
        <f t="shared" si="20"/>
        <v>0</v>
      </c>
    </row>
    <row r="25" spans="1:26" s="54" customFormat="1" x14ac:dyDescent="0.25">
      <c r="A25" s="37"/>
      <c r="B25" s="37"/>
      <c r="C25" s="37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6" t="s">
        <v>292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5" t="s">
        <v>276</v>
      </c>
      <c r="C28" s="25"/>
      <c r="D28" s="21">
        <f>+D20-D22+D26</f>
        <v>-245.09999999999997</v>
      </c>
      <c r="E28" s="13"/>
      <c r="F28" s="22">
        <f>IF(D$12=0,0,D28/D$12)</f>
        <v>-28.043478260869531</v>
      </c>
      <c r="G28" s="13"/>
      <c r="H28" s="21">
        <f>+H20-H22+H26</f>
        <v>0</v>
      </c>
      <c r="I28" s="13"/>
      <c r="J28" s="22">
        <f>IF(H$12=0,0,H28/H$12)</f>
        <v>0</v>
      </c>
      <c r="K28" s="16"/>
      <c r="L28" s="21">
        <f>+D28-H28</f>
        <v>-245.09999999999997</v>
      </c>
      <c r="M28" s="16"/>
      <c r="N28" s="22">
        <f>IF(H28=0,0,L28/H28)</f>
        <v>0</v>
      </c>
      <c r="O28" s="26"/>
      <c r="P28" s="21">
        <f>+P20-P22+P26</f>
        <v>-159.75</v>
      </c>
      <c r="Q28" s="13"/>
      <c r="R28" s="22">
        <f>IF(P$12=0,0,P28/P$12)</f>
        <v>-1.1485369185419512</v>
      </c>
      <c r="S28" s="13"/>
      <c r="T28" s="21">
        <f>+T20-T22+T26</f>
        <v>41.09</v>
      </c>
      <c r="U28" s="13"/>
      <c r="V28" s="22">
        <f>IF(T$12=0,0,T28/T$12)</f>
        <v>0.37354545454545457</v>
      </c>
      <c r="W28" s="16"/>
      <c r="X28" s="21">
        <f>+P28-T28</f>
        <v>-200.84</v>
      </c>
      <c r="Y28" s="16"/>
      <c r="Z28" s="22">
        <f>IF(T28=0,0,X28/T28)</f>
        <v>-4.8878072523728395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1"/>
      <c r="B30" s="10" t="s">
        <v>127</v>
      </c>
      <c r="C30" s="10"/>
      <c r="D30" s="4">
        <v>-2.2599999999999998</v>
      </c>
      <c r="E30" s="4"/>
      <c r="F30" s="12">
        <f>IF(D$12=0,0,D30/D$12)</f>
        <v>-0.25858123569794023</v>
      </c>
      <c r="G30" s="4"/>
      <c r="H30" s="4">
        <v>1.81</v>
      </c>
      <c r="I30" s="4"/>
      <c r="J30" s="12">
        <f>IF(H$12=0,0,H30/H$12)</f>
        <v>0</v>
      </c>
      <c r="K30" s="4"/>
      <c r="L30" s="4">
        <f>+D30-H30</f>
        <v>-4.07</v>
      </c>
      <c r="M30" s="4"/>
      <c r="N30" s="12">
        <f>IF(H30=0,0,L30/H30)</f>
        <v>-2.2486187845303869</v>
      </c>
      <c r="O30" s="10"/>
      <c r="P30" s="4">
        <v>17.22</v>
      </c>
      <c r="Q30" s="4"/>
      <c r="R30" s="12">
        <f>IF(P$12=0,0,P30/P$12)</f>
        <v>0.12380473074987416</v>
      </c>
      <c r="S30" s="4"/>
      <c r="T30" s="4">
        <v>20.38</v>
      </c>
      <c r="U30" s="4"/>
      <c r="V30" s="12">
        <f>IF(T$12=0,0,T30/T$12)</f>
        <v>0.18527272727272726</v>
      </c>
      <c r="W30" s="4"/>
      <c r="X30" s="4">
        <f>+P30-T30</f>
        <v>-3.16</v>
      </c>
      <c r="Y30" s="4"/>
      <c r="Z30" s="12">
        <f>IF(T30=0,0,X30/T30)</f>
        <v>-0.15505397448478903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5" t="s">
        <v>125</v>
      </c>
      <c r="C32" s="25"/>
      <c r="D32" s="33">
        <f>+D28-D30</f>
        <v>-242.83999999999997</v>
      </c>
      <c r="E32" s="13"/>
      <c r="F32" s="35">
        <f>IF(D$12=0,0,D32/D$12)</f>
        <v>-27.784897025171592</v>
      </c>
      <c r="G32" s="13"/>
      <c r="H32" s="33">
        <f>+H28-H30</f>
        <v>-1.81</v>
      </c>
      <c r="I32" s="13"/>
      <c r="J32" s="35">
        <f>IF(H$12=0,0,H32/H$12)</f>
        <v>0</v>
      </c>
      <c r="K32" s="16"/>
      <c r="L32" s="33">
        <f>D32-H32</f>
        <v>-241.02999999999997</v>
      </c>
      <c r="M32" s="16"/>
      <c r="N32" s="35">
        <f>IF(H32=0,0,L32/H32)</f>
        <v>133.16574585635357</v>
      </c>
      <c r="O32" s="26"/>
      <c r="P32" s="33">
        <f>+P28-P30</f>
        <v>-176.97</v>
      </c>
      <c r="Q32" s="13"/>
      <c r="R32" s="35">
        <f>IF(P$12=0,0,P32/P$12)</f>
        <v>-1.2723416492918254</v>
      </c>
      <c r="S32" s="13"/>
      <c r="T32" s="33">
        <f>+T28-T30</f>
        <v>20.710000000000004</v>
      </c>
      <c r="U32" s="13"/>
      <c r="V32" s="35">
        <f>IF(T$12=0,0,T32/T$12)</f>
        <v>0.18827272727272731</v>
      </c>
      <c r="W32" s="16"/>
      <c r="X32" s="33">
        <f>P32-T32</f>
        <v>-197.68</v>
      </c>
      <c r="Y32" s="16"/>
      <c r="Z32" s="35">
        <f>IF(T32=0,0,X32/T32)</f>
        <v>-9.5451472718493466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5" t="s">
        <v>293</v>
      </c>
      <c r="C35" s="25"/>
      <c r="D35" s="31">
        <f>SUM(D32:D34)</f>
        <v>-242.83999999999997</v>
      </c>
      <c r="E35" s="13"/>
      <c r="F35" s="32">
        <f>IF(D$12=0,0,D35/D$12)</f>
        <v>-27.784897025171592</v>
      </c>
      <c r="G35" s="13"/>
      <c r="H35" s="31">
        <f>SUM(H32:H34)</f>
        <v>-1.81</v>
      </c>
      <c r="I35" s="13"/>
      <c r="J35" s="32">
        <f>IF(H$12=0,0,H35/H$12)</f>
        <v>0</v>
      </c>
      <c r="K35" s="16"/>
      <c r="L35" s="31">
        <f>+D35-H35</f>
        <v>-241.02999999999997</v>
      </c>
      <c r="M35" s="16"/>
      <c r="N35" s="32">
        <f>IF(H35=0,0,L35/H35)</f>
        <v>133.16574585635357</v>
      </c>
      <c r="O35" s="26"/>
      <c r="P35" s="31">
        <f>SUM(P32:P34)</f>
        <v>-176.97</v>
      </c>
      <c r="Q35" s="13"/>
      <c r="R35" s="32">
        <f>IF(P$12=0,0,P35/P$12)</f>
        <v>-1.2723416492918254</v>
      </c>
      <c r="S35" s="13"/>
      <c r="T35" s="31">
        <f>SUM(T32:T34)</f>
        <v>20.710000000000004</v>
      </c>
      <c r="U35" s="13"/>
      <c r="V35" s="32">
        <f>IF(T$12=0,0,T35/T$12)</f>
        <v>0.18827272727272731</v>
      </c>
      <c r="W35" s="16"/>
      <c r="X35" s="31">
        <f>+P35-T35</f>
        <v>-197.68</v>
      </c>
      <c r="Y35" s="16"/>
      <c r="Z35" s="32">
        <f>IF(T35=0,0,X35/T35)</f>
        <v>-9.5451472718493466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58">
        <v>44481.985668518515</v>
      </c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3" t="s">
        <v>56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2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</sheetPr>
  <dimension ref="A2:Z11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199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1556759.41</v>
      </c>
      <c r="E12" s="4"/>
      <c r="F12" s="12"/>
      <c r="G12" s="4"/>
      <c r="H12" s="4">
        <f>SUM(OSRRefH13x_0)</f>
        <v>231032.62999999998</v>
      </c>
      <c r="I12" s="4"/>
      <c r="J12" s="12"/>
      <c r="K12" s="4"/>
      <c r="L12" s="4">
        <f t="shared" ref="L12:L17" si="0">+D12-H12</f>
        <v>1325726.78</v>
      </c>
      <c r="M12" s="4"/>
      <c r="N12" s="12">
        <f t="shared" ref="N12:N17" si="1">IF(H12=0,0,L12/H12)</f>
        <v>5.7382664085155426</v>
      </c>
      <c r="O12" s="10"/>
      <c r="P12" s="4">
        <f>SUM(OSRRefP13x_0)</f>
        <v>2134952.0499999998</v>
      </c>
      <c r="Q12" s="4"/>
      <c r="R12" s="12"/>
      <c r="S12" s="4"/>
      <c r="T12" s="4">
        <f>SUM(OSRRefT13x_0)</f>
        <v>305882.48</v>
      </c>
      <c r="U12" s="4"/>
      <c r="V12" s="12"/>
      <c r="W12" s="4"/>
      <c r="X12" s="4">
        <f t="shared" ref="X12:X17" si="2">+P12-T12</f>
        <v>1829069.5699999998</v>
      </c>
      <c r="Y12" s="4"/>
      <c r="Z12" s="12">
        <f t="shared" ref="Z12:Z17" si="3">IF(T12=0,0,X12/T12)</f>
        <v>5.979648033453894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--33705.87</f>
        <v>33705.870000000003</v>
      </c>
      <c r="E13" s="2"/>
      <c r="F13" s="19"/>
      <c r="G13" s="2"/>
      <c r="H13" s="2">
        <f>--4141.96</f>
        <v>4141.96</v>
      </c>
      <c r="I13" s="2"/>
      <c r="J13" s="19"/>
      <c r="K13" s="2"/>
      <c r="L13" s="2">
        <f t="shared" si="0"/>
        <v>29563.910000000003</v>
      </c>
      <c r="M13" s="2"/>
      <c r="N13" s="19">
        <f t="shared" si="1"/>
        <v>7.1376618798829545</v>
      </c>
      <c r="O13" s="11"/>
      <c r="P13" s="2">
        <f>--64976.31</f>
        <v>64976.31</v>
      </c>
      <c r="Q13" s="2"/>
      <c r="R13" s="19"/>
      <c r="S13" s="2"/>
      <c r="T13" s="2">
        <f>--6652.68</f>
        <v>6652.68</v>
      </c>
      <c r="U13" s="2"/>
      <c r="V13" s="19"/>
      <c r="W13" s="2"/>
      <c r="X13" s="2">
        <f t="shared" si="2"/>
        <v>58323.63</v>
      </c>
      <c r="Y13" s="2"/>
      <c r="Z13" s="19">
        <f t="shared" si="3"/>
        <v>8.7669375349483207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--644.1</f>
        <v>644.1</v>
      </c>
      <c r="E14" s="2"/>
      <c r="F14" s="19"/>
      <c r="G14" s="2"/>
      <c r="H14" s="2">
        <f>--62.54</f>
        <v>62.54</v>
      </c>
      <c r="I14" s="2"/>
      <c r="J14" s="19"/>
      <c r="K14" s="2"/>
      <c r="L14" s="2">
        <f t="shared" si="0"/>
        <v>581.56000000000006</v>
      </c>
      <c r="M14" s="2"/>
      <c r="N14" s="19">
        <f t="shared" si="1"/>
        <v>9.2990086344739371</v>
      </c>
      <c r="O14" s="11"/>
      <c r="P14" s="2">
        <f>--1134.93</f>
        <v>1134.93</v>
      </c>
      <c r="Q14" s="2"/>
      <c r="R14" s="19"/>
      <c r="S14" s="2"/>
      <c r="T14" s="2">
        <f>--402.44</f>
        <v>402.44</v>
      </c>
      <c r="U14" s="2"/>
      <c r="V14" s="19"/>
      <c r="W14" s="2"/>
      <c r="X14" s="2">
        <f t="shared" si="2"/>
        <v>732.49</v>
      </c>
      <c r="Y14" s="2"/>
      <c r="Z14" s="19">
        <f t="shared" si="3"/>
        <v>1.8201222542490807</v>
      </c>
    </row>
    <row r="15" spans="1:26" s="24" customFormat="1" hidden="1" outlineLevel="1" x14ac:dyDescent="0.25">
      <c r="A15" s="44"/>
      <c r="B15" s="11" t="str">
        <f>CONCATENATE("          ", "4058", " - ", "TAXABLE SALES-FOOD")</f>
        <v xml:space="preserve">          4058 - TAXABLE SALES-FOOD</v>
      </c>
      <c r="C15" s="11"/>
      <c r="D15" s="2">
        <f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f>--974.91</f>
        <v>974.91</v>
      </c>
      <c r="U15" s="2"/>
      <c r="V15" s="19"/>
      <c r="W15" s="2"/>
      <c r="X15" s="2">
        <f t="shared" si="2"/>
        <v>-974.91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--1509200.13</f>
        <v>1509200.13</v>
      </c>
      <c r="E16" s="2"/>
      <c r="F16" s="19"/>
      <c r="G16" s="2"/>
      <c r="H16" s="2">
        <f>--223549.77</f>
        <v>223549.77</v>
      </c>
      <c r="I16" s="2"/>
      <c r="J16" s="19"/>
      <c r="K16" s="2"/>
      <c r="L16" s="2">
        <f t="shared" si="0"/>
        <v>1285650.3599999999</v>
      </c>
      <c r="M16" s="2"/>
      <c r="N16" s="19">
        <f t="shared" si="1"/>
        <v>5.7510699295284446</v>
      </c>
      <c r="O16" s="11"/>
      <c r="P16" s="2">
        <f>--2036563.48</f>
        <v>2036563.48</v>
      </c>
      <c r="Q16" s="2"/>
      <c r="R16" s="19"/>
      <c r="S16" s="2"/>
      <c r="T16" s="2">
        <f>--267608.67</f>
        <v>267608.67</v>
      </c>
      <c r="U16" s="2"/>
      <c r="V16" s="19"/>
      <c r="W16" s="2"/>
      <c r="X16" s="2">
        <f t="shared" si="2"/>
        <v>1768954.81</v>
      </c>
      <c r="Y16" s="2"/>
      <c r="Z16" s="19">
        <f t="shared" si="3"/>
        <v>6.610229818039902</v>
      </c>
    </row>
    <row r="17" spans="1:26" s="24" customFormat="1" hidden="1" outlineLevel="1" x14ac:dyDescent="0.25">
      <c r="A17" s="44"/>
      <c r="B17" s="11" t="str">
        <f>CONCATENATE("          ", "4153", " - ", "NON-TAXABLE SALES-FOOD")</f>
        <v xml:space="preserve">          4153 - NON-TAXABLE SALES-FOOD</v>
      </c>
      <c r="C17" s="11"/>
      <c r="D17" s="2">
        <f>--13209.31</f>
        <v>13209.31</v>
      </c>
      <c r="E17" s="2"/>
      <c r="F17" s="19"/>
      <c r="G17" s="2"/>
      <c r="H17" s="2">
        <f>--3278.36</f>
        <v>3278.36</v>
      </c>
      <c r="I17" s="2"/>
      <c r="J17" s="19"/>
      <c r="K17" s="2"/>
      <c r="L17" s="2">
        <f t="shared" si="0"/>
        <v>9930.9499999999989</v>
      </c>
      <c r="M17" s="2"/>
      <c r="N17" s="19">
        <f t="shared" si="1"/>
        <v>3.0292432801766731</v>
      </c>
      <c r="O17" s="11"/>
      <c r="P17" s="2">
        <f>--32277.33</f>
        <v>32277.33</v>
      </c>
      <c r="Q17" s="2"/>
      <c r="R17" s="19"/>
      <c r="S17" s="2"/>
      <c r="T17" s="2">
        <f>--30243.78</f>
        <v>30243.78</v>
      </c>
      <c r="U17" s="2"/>
      <c r="V17" s="19"/>
      <c r="W17" s="2"/>
      <c r="X17" s="2">
        <f t="shared" si="2"/>
        <v>2033.5500000000029</v>
      </c>
      <c r="Y17" s="2"/>
      <c r="Z17" s="19">
        <f t="shared" si="3"/>
        <v>6.7238618982151138E-2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6" t="s">
        <v>256</v>
      </c>
      <c r="C19" s="10"/>
      <c r="D19" s="4">
        <f>SUM(OSRRefD16x_0)</f>
        <v>408049.86</v>
      </c>
      <c r="E19" s="4"/>
      <c r="F19" s="12">
        <f t="shared" ref="F19:F21" si="4">IF(D$12=0,0,D19/D$12)</f>
        <v>0.26211491472532678</v>
      </c>
      <c r="G19" s="4"/>
      <c r="H19" s="4">
        <f>SUM(OSRRefH16x_0)</f>
        <v>45417.08</v>
      </c>
      <c r="I19" s="4"/>
      <c r="J19" s="12">
        <f t="shared" ref="J19:J21" si="5">IF(H$12=0,0,H19/H$12)</f>
        <v>0.19658296752281271</v>
      </c>
      <c r="K19" s="4"/>
      <c r="L19" s="4">
        <f t="shared" ref="L19:L21" si="6">+D19-H19</f>
        <v>362632.77999999997</v>
      </c>
      <c r="M19" s="4"/>
      <c r="N19" s="12">
        <f t="shared" ref="N19:N21" si="7">IF(H19=0,0,L19/H19)</f>
        <v>7.9845023061808451</v>
      </c>
      <c r="O19" s="10"/>
      <c r="P19" s="4">
        <f>SUM(OSRRefP16x_0)</f>
        <v>619582.53</v>
      </c>
      <c r="Q19" s="4"/>
      <c r="R19" s="12">
        <f t="shared" ref="R19:R21" si="8">IF(P$12=0,0,P19/P$12)</f>
        <v>0.29020910797504801</v>
      </c>
      <c r="S19" s="4"/>
      <c r="T19" s="4">
        <f>SUM(OSRRefT16x_0)</f>
        <v>107425.23999999999</v>
      </c>
      <c r="U19" s="4"/>
      <c r="V19" s="12">
        <f t="shared" ref="V19:V21" si="9">IF(T$12=0,0,T19/T$12)</f>
        <v>0.35119775411785598</v>
      </c>
      <c r="W19" s="4"/>
      <c r="X19" s="4">
        <f t="shared" ref="X19:X21" si="10">+P19-T19</f>
        <v>512157.29000000004</v>
      </c>
      <c r="Y19" s="4"/>
      <c r="Z19" s="12">
        <f t="shared" ref="Z19:Z21" si="11">IF(T19=0,0,X19/T19)</f>
        <v>4.7675694278178957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409942.26</v>
      </c>
      <c r="E20" s="2"/>
      <c r="F20" s="19">
        <f t="shared" si="4"/>
        <v>0.26333051682019382</v>
      </c>
      <c r="G20" s="2"/>
      <c r="H20" s="2">
        <v>41555.599999999999</v>
      </c>
      <c r="I20" s="2"/>
      <c r="J20" s="19">
        <f t="shared" si="5"/>
        <v>0.17986896482977319</v>
      </c>
      <c r="K20" s="2"/>
      <c r="L20" s="2">
        <f t="shared" si="6"/>
        <v>368386.66000000003</v>
      </c>
      <c r="M20" s="2"/>
      <c r="N20" s="19">
        <f t="shared" si="7"/>
        <v>8.8649101444811294</v>
      </c>
      <c r="O20" s="11"/>
      <c r="P20" s="2">
        <v>692911.93</v>
      </c>
      <c r="Q20" s="2"/>
      <c r="R20" s="19">
        <f t="shared" si="8"/>
        <v>0.32455620256202011</v>
      </c>
      <c r="S20" s="2"/>
      <c r="T20" s="2">
        <v>130365.75999999999</v>
      </c>
      <c r="U20" s="2"/>
      <c r="V20" s="19">
        <f t="shared" si="9"/>
        <v>0.42619557681106812</v>
      </c>
      <c r="W20" s="2"/>
      <c r="X20" s="2">
        <f t="shared" si="10"/>
        <v>562546.17000000004</v>
      </c>
      <c r="Y20" s="2"/>
      <c r="Z20" s="19">
        <f t="shared" si="11"/>
        <v>4.3151374256553261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-1892.4</v>
      </c>
      <c r="E21" s="2"/>
      <c r="F21" s="19">
        <f t="shared" si="4"/>
        <v>-1.2156020948670548E-3</v>
      </c>
      <c r="G21" s="2"/>
      <c r="H21" s="2">
        <v>3861.48</v>
      </c>
      <c r="I21" s="2"/>
      <c r="J21" s="19">
        <f t="shared" si="5"/>
        <v>1.671400269303951E-2</v>
      </c>
      <c r="K21" s="2"/>
      <c r="L21" s="2">
        <f t="shared" si="6"/>
        <v>-5753.88</v>
      </c>
      <c r="M21" s="2"/>
      <c r="N21" s="19">
        <f t="shared" si="7"/>
        <v>-1.4900711644240032</v>
      </c>
      <c r="O21" s="11"/>
      <c r="P21" s="2">
        <v>-73329.399999999994</v>
      </c>
      <c r="Q21" s="2"/>
      <c r="R21" s="19">
        <f t="shared" si="8"/>
        <v>-3.4347094586972104E-2</v>
      </c>
      <c r="S21" s="2"/>
      <c r="T21" s="2">
        <v>-22940.52</v>
      </c>
      <c r="U21" s="2"/>
      <c r="V21" s="19">
        <f t="shared" si="9"/>
        <v>-7.4997822693212118E-2</v>
      </c>
      <c r="W21" s="2"/>
      <c r="X21" s="2">
        <f t="shared" si="10"/>
        <v>-50388.87999999999</v>
      </c>
      <c r="Y21" s="2"/>
      <c r="Z21" s="19">
        <f t="shared" si="11"/>
        <v>2.1965012127013681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107</v>
      </c>
      <c r="C23" s="25"/>
      <c r="D23" s="21">
        <f>D12-D19</f>
        <v>1148709.5499999998</v>
      </c>
      <c r="E23" s="13"/>
      <c r="F23" s="22">
        <f>IF(D$12=0,0,D23/D$12)</f>
        <v>0.73788508527467311</v>
      </c>
      <c r="G23" s="13"/>
      <c r="H23" s="21">
        <f>H12-H19</f>
        <v>185615.55</v>
      </c>
      <c r="I23" s="13"/>
      <c r="J23" s="22">
        <f>IF(H$12=0,0,H23/H$12)</f>
        <v>0.80341703247718732</v>
      </c>
      <c r="K23" s="16"/>
      <c r="L23" s="21">
        <f>+D23-H23</f>
        <v>963093.99999999977</v>
      </c>
      <c r="M23" s="16"/>
      <c r="N23" s="22">
        <f>IF(H23=0,0,L23/H23)</f>
        <v>5.1886493346058549</v>
      </c>
      <c r="O23" s="26"/>
      <c r="P23" s="21">
        <f>P12-P19</f>
        <v>1515369.5199999998</v>
      </c>
      <c r="Q23" s="13"/>
      <c r="R23" s="22">
        <f>IF(P$12=0,0,P23/P$12)</f>
        <v>0.70979089202495205</v>
      </c>
      <c r="S23" s="13"/>
      <c r="T23" s="21">
        <f>T12-T19</f>
        <v>198457.24</v>
      </c>
      <c r="U23" s="13"/>
      <c r="V23" s="22">
        <f>IF(T$12=0,0,T23/T$12)</f>
        <v>0.64880224588214408</v>
      </c>
      <c r="W23" s="16"/>
      <c r="X23" s="21">
        <f>+P23-T23</f>
        <v>1316912.2799999998</v>
      </c>
      <c r="Y23" s="16"/>
      <c r="Z23" s="22">
        <f>IF(T23=0,0,X23/T23)</f>
        <v>6.6357482347330832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294</v>
      </c>
      <c r="C25" s="10"/>
      <c r="D25" s="20">
        <f>SUM(OSRRefD22x_0)</f>
        <v>673495.39</v>
      </c>
      <c r="E25" s="20"/>
      <c r="F25" s="30">
        <f t="shared" ref="F25:F35" si="12">IF(D$12=0,0,D25/D$12)</f>
        <v>0.43262650970582539</v>
      </c>
      <c r="G25" s="20"/>
      <c r="H25" s="20">
        <f>SUM(OSRRefH22x_0)</f>
        <v>359684.63000000012</v>
      </c>
      <c r="I25" s="20"/>
      <c r="J25" s="30">
        <f t="shared" ref="J25:J35" si="13">IF(H$12=0,0,H25/H$12)</f>
        <v>1.5568564059544323</v>
      </c>
      <c r="K25" s="4"/>
      <c r="L25" s="20">
        <f t="shared" ref="L25:L35" si="14">+D25-H25</f>
        <v>313810.75999999989</v>
      </c>
      <c r="M25" s="4"/>
      <c r="N25" s="30">
        <f t="shared" ref="N25:N35" si="15">IF(H25=0,0,L25/H25)</f>
        <v>0.87246085549999675</v>
      </c>
      <c r="O25" s="10"/>
      <c r="P25" s="20">
        <f>SUM(OSRRefP22x_0)</f>
        <v>1528981.0999999994</v>
      </c>
      <c r="Q25" s="20"/>
      <c r="R25" s="30">
        <f t="shared" ref="R25:R35" si="16">IF(P$12=0,0,P25/P$12)</f>
        <v>0.71616648252123483</v>
      </c>
      <c r="S25" s="20"/>
      <c r="T25" s="20">
        <f>SUM(OSRRefT22x_0)</f>
        <v>955708.68999999983</v>
      </c>
      <c r="U25" s="20"/>
      <c r="V25" s="30">
        <f t="shared" ref="V25:V35" si="17">IF(T$12=0,0,T25/T$12)</f>
        <v>3.1244309579286784</v>
      </c>
      <c r="W25" s="4"/>
      <c r="X25" s="20">
        <f t="shared" ref="X25:X35" si="18">+P25-T25</f>
        <v>573272.40999999957</v>
      </c>
      <c r="Y25" s="4"/>
      <c r="Z25" s="30">
        <f t="shared" ref="Z25:Z35" si="19">IF(T25=0,0,X25/T25)</f>
        <v>0.5998401144599822</v>
      </c>
    </row>
    <row r="26" spans="1:26" s="27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115647.20999999999</v>
      </c>
      <c r="E26" s="1"/>
      <c r="F26" s="5">
        <f t="shared" si="12"/>
        <v>7.4287143701928862E-2</v>
      </c>
      <c r="G26" s="1"/>
      <c r="H26" s="1">
        <f>SUM(OSRRefH22_0x_0)</f>
        <v>97784.810000000012</v>
      </c>
      <c r="I26" s="1"/>
      <c r="J26" s="5">
        <f t="shared" si="13"/>
        <v>0.42325107929559569</v>
      </c>
      <c r="K26" s="1"/>
      <c r="L26" s="1">
        <f t="shared" si="14"/>
        <v>17862.39999999998</v>
      </c>
      <c r="M26" s="1"/>
      <c r="N26" s="5">
        <f t="shared" si="15"/>
        <v>0.18267049861834345</v>
      </c>
      <c r="O26" s="14"/>
      <c r="P26" s="1">
        <f>SUM(OSRRefP22_0x_0)</f>
        <v>312666.75999999995</v>
      </c>
      <c r="Q26" s="1"/>
      <c r="R26" s="5">
        <f t="shared" si="16"/>
        <v>0.14645142030239039</v>
      </c>
      <c r="S26" s="1"/>
      <c r="T26" s="1">
        <f>SUM(OSRRefT22_0x_0)</f>
        <v>288957.96999999997</v>
      </c>
      <c r="U26" s="1"/>
      <c r="V26" s="5">
        <f t="shared" si="17"/>
        <v>0.94466989413712088</v>
      </c>
      <c r="W26" s="1"/>
      <c r="X26" s="1">
        <f t="shared" si="18"/>
        <v>23708.789999999979</v>
      </c>
      <c r="Y26" s="1"/>
      <c r="Z26" s="5">
        <f t="shared" si="19"/>
        <v>8.2049268272475689E-2</v>
      </c>
    </row>
    <row r="27" spans="1:26" s="24" customFormat="1" hidden="1" outlineLevel="2" x14ac:dyDescent="0.25">
      <c r="A27" s="28"/>
      <c r="B27" s="11" t="str">
        <f>CONCATENATE("          ", "6111", " - ", "F.I.C.A.")</f>
        <v xml:space="preserve">          6111 - F.I.C.A.</v>
      </c>
      <c r="C27" s="11"/>
      <c r="D27" s="7">
        <v>18130.73</v>
      </c>
      <c r="E27" s="2"/>
      <c r="F27" s="6">
        <f t="shared" si="12"/>
        <v>1.1646456018531471E-2</v>
      </c>
      <c r="G27" s="2"/>
      <c r="H27" s="7">
        <v>10588.36</v>
      </c>
      <c r="I27" s="2"/>
      <c r="J27" s="6">
        <f t="shared" si="13"/>
        <v>4.5830582459282926E-2</v>
      </c>
      <c r="K27" s="2"/>
      <c r="L27" s="7">
        <f t="shared" si="14"/>
        <v>7542.369999999999</v>
      </c>
      <c r="M27" s="2"/>
      <c r="N27" s="6">
        <f t="shared" si="15"/>
        <v>0.71232655482057639</v>
      </c>
      <c r="O27" s="11"/>
      <c r="P27" s="7">
        <v>41813.769999999997</v>
      </c>
      <c r="Q27" s="2"/>
      <c r="R27" s="6">
        <f t="shared" si="16"/>
        <v>1.9585343848823208E-2</v>
      </c>
      <c r="S27" s="2"/>
      <c r="T27" s="7">
        <v>29006.07</v>
      </c>
      <c r="U27" s="2"/>
      <c r="V27" s="6">
        <f t="shared" si="17"/>
        <v>9.4827497148578119E-2</v>
      </c>
      <c r="W27" s="2"/>
      <c r="X27" s="7">
        <f t="shared" si="18"/>
        <v>12807.699999999997</v>
      </c>
      <c r="Y27" s="2"/>
      <c r="Z27" s="6">
        <f t="shared" si="19"/>
        <v>0.4415524060998266</v>
      </c>
    </row>
    <row r="28" spans="1:26" s="24" customFormat="1" hidden="1" outlineLevel="2" x14ac:dyDescent="0.25">
      <c r="A28" s="28"/>
      <c r="B28" s="11" t="str">
        <f>CONCATENATE("          ", "6112", " - ", "COMPENSATION INSURANCE")</f>
        <v xml:space="preserve">          6112 - COMPENSATION INSURANCE</v>
      </c>
      <c r="C28" s="11"/>
      <c r="D28" s="7">
        <v>9879.5499999999993</v>
      </c>
      <c r="E28" s="2"/>
      <c r="F28" s="6">
        <f t="shared" si="12"/>
        <v>6.3462278991459568E-3</v>
      </c>
      <c r="G28" s="2"/>
      <c r="H28" s="7">
        <v>6099.43</v>
      </c>
      <c r="I28" s="2"/>
      <c r="J28" s="6">
        <f t="shared" si="13"/>
        <v>2.6400729628537758E-2</v>
      </c>
      <c r="K28" s="2"/>
      <c r="L28" s="7">
        <f t="shared" si="14"/>
        <v>3780.119999999999</v>
      </c>
      <c r="M28" s="2"/>
      <c r="N28" s="6">
        <f t="shared" si="15"/>
        <v>0.6197497143175672</v>
      </c>
      <c r="O28" s="11"/>
      <c r="P28" s="7">
        <v>20124.23</v>
      </c>
      <c r="Q28" s="2"/>
      <c r="R28" s="6">
        <f t="shared" si="16"/>
        <v>9.4260805529566821E-3</v>
      </c>
      <c r="S28" s="2"/>
      <c r="T28" s="7">
        <v>14716.83</v>
      </c>
      <c r="U28" s="2"/>
      <c r="V28" s="6">
        <f t="shared" si="17"/>
        <v>4.8112693476265789E-2</v>
      </c>
      <c r="W28" s="2"/>
      <c r="X28" s="7">
        <f t="shared" si="18"/>
        <v>5407.4</v>
      </c>
      <c r="Y28" s="2"/>
      <c r="Z28" s="6">
        <f t="shared" si="19"/>
        <v>0.36742967065597681</v>
      </c>
    </row>
    <row r="29" spans="1:26" s="24" customFormat="1" hidden="1" outlineLevel="2" x14ac:dyDescent="0.25">
      <c r="A29" s="28"/>
      <c r="B29" s="11" t="str">
        <f>CONCATENATE("          ", "6113", " - ", "GROUP INSURANCE")</f>
        <v xml:space="preserve">          6113 - GROUP INSURANCE</v>
      </c>
      <c r="C29" s="11"/>
      <c r="D29" s="7">
        <v>57185.05</v>
      </c>
      <c r="E29" s="2"/>
      <c r="F29" s="6">
        <f t="shared" si="12"/>
        <v>3.6733389650748925E-2</v>
      </c>
      <c r="G29" s="2"/>
      <c r="H29" s="7">
        <v>55053.17</v>
      </c>
      <c r="I29" s="2"/>
      <c r="J29" s="6">
        <f t="shared" si="13"/>
        <v>0.23829175125608881</v>
      </c>
      <c r="K29" s="2"/>
      <c r="L29" s="7">
        <f t="shared" si="14"/>
        <v>2131.8800000000047</v>
      </c>
      <c r="M29" s="2"/>
      <c r="N29" s="6">
        <f t="shared" si="15"/>
        <v>3.8724018980196867E-2</v>
      </c>
      <c r="O29" s="11"/>
      <c r="P29" s="7">
        <v>164609.82999999999</v>
      </c>
      <c r="Q29" s="2"/>
      <c r="R29" s="6">
        <f t="shared" si="16"/>
        <v>7.7102354593865469E-2</v>
      </c>
      <c r="S29" s="2"/>
      <c r="T29" s="7">
        <v>165415.95000000001</v>
      </c>
      <c r="U29" s="2"/>
      <c r="V29" s="6">
        <f t="shared" si="17"/>
        <v>0.54078268882872937</v>
      </c>
      <c r="W29" s="2"/>
      <c r="X29" s="7">
        <f t="shared" si="18"/>
        <v>-806.12000000002445</v>
      </c>
      <c r="Y29" s="2"/>
      <c r="Z29" s="6">
        <f t="shared" si="19"/>
        <v>-4.8732906349117141E-3</v>
      </c>
    </row>
    <row r="30" spans="1:26" s="24" customFormat="1" hidden="1" outlineLevel="2" x14ac:dyDescent="0.25">
      <c r="A30" s="28"/>
      <c r="B30" s="11" t="str">
        <f>CONCATENATE("          ", "6114", " - ", "STATE UNEMPLOYMENT INSURANCE")</f>
        <v xml:space="preserve">          6114 - STATE UNEMPLOYMENT INSURANCE</v>
      </c>
      <c r="C30" s="11"/>
      <c r="D30" s="7">
        <v>743.81</v>
      </c>
      <c r="E30" s="2"/>
      <c r="F30" s="6">
        <f t="shared" si="12"/>
        <v>4.7779380373233135E-4</v>
      </c>
      <c r="G30" s="2"/>
      <c r="H30" s="7">
        <v>410.96</v>
      </c>
      <c r="I30" s="2"/>
      <c r="J30" s="6">
        <f t="shared" si="13"/>
        <v>1.7787963544370336E-3</v>
      </c>
      <c r="K30" s="2"/>
      <c r="L30" s="7">
        <f t="shared" si="14"/>
        <v>332.84999999999997</v>
      </c>
      <c r="M30" s="2"/>
      <c r="N30" s="6">
        <f t="shared" si="15"/>
        <v>0.80993284017909284</v>
      </c>
      <c r="O30" s="11"/>
      <c r="P30" s="7">
        <v>1541.46</v>
      </c>
      <c r="Q30" s="2"/>
      <c r="R30" s="6">
        <f t="shared" si="16"/>
        <v>7.2201153182808021E-4</v>
      </c>
      <c r="S30" s="2"/>
      <c r="T30" s="7">
        <v>1108.99</v>
      </c>
      <c r="U30" s="2"/>
      <c r="V30" s="6">
        <f t="shared" si="17"/>
        <v>3.6255427247745609E-3</v>
      </c>
      <c r="W30" s="2"/>
      <c r="X30" s="7">
        <f t="shared" si="18"/>
        <v>432.47</v>
      </c>
      <c r="Y30" s="2"/>
      <c r="Z30" s="6">
        <f t="shared" si="19"/>
        <v>0.38996744785796089</v>
      </c>
    </row>
    <row r="31" spans="1:26" s="24" customFormat="1" hidden="1" outlineLevel="2" x14ac:dyDescent="0.25">
      <c r="A31" s="28"/>
      <c r="B31" s="11" t="str">
        <f>CONCATENATE("          ", "6115", " - ", "P.E.R.S.")</f>
        <v xml:space="preserve">          6115 - P.E.R.S.</v>
      </c>
      <c r="C31" s="11"/>
      <c r="D31" s="7">
        <v>7282.93</v>
      </c>
      <c r="E31" s="2"/>
      <c r="F31" s="6">
        <f t="shared" si="12"/>
        <v>4.678263033592327E-3</v>
      </c>
      <c r="G31" s="2"/>
      <c r="H31" s="7">
        <v>6333.53</v>
      </c>
      <c r="I31" s="2"/>
      <c r="J31" s="6">
        <f t="shared" si="13"/>
        <v>2.7414006411129028E-2</v>
      </c>
      <c r="K31" s="2"/>
      <c r="L31" s="7">
        <f t="shared" si="14"/>
        <v>949.40000000000055</v>
      </c>
      <c r="M31" s="2"/>
      <c r="N31" s="6">
        <f t="shared" si="15"/>
        <v>0.14990060834953028</v>
      </c>
      <c r="O31" s="11"/>
      <c r="P31" s="7">
        <v>20698.04</v>
      </c>
      <c r="Q31" s="2"/>
      <c r="R31" s="6">
        <f t="shared" si="16"/>
        <v>9.6948500552974954E-3</v>
      </c>
      <c r="S31" s="2"/>
      <c r="T31" s="7">
        <v>22693.62</v>
      </c>
      <c r="U31" s="2"/>
      <c r="V31" s="6">
        <f t="shared" si="17"/>
        <v>7.4190649951576176E-2</v>
      </c>
      <c r="W31" s="2"/>
      <c r="X31" s="7">
        <f t="shared" si="18"/>
        <v>-1995.5799999999981</v>
      </c>
      <c r="Y31" s="2"/>
      <c r="Z31" s="6">
        <f t="shared" si="19"/>
        <v>-8.7935728191447557E-2</v>
      </c>
    </row>
    <row r="32" spans="1:26" s="24" customFormat="1" hidden="1" outlineLevel="2" x14ac:dyDescent="0.25">
      <c r="A32" s="28"/>
      <c r="B32" s="11" t="str">
        <f>CONCATENATE("          ", "6117", " - ", "RETIREMENT STAFF HOURLY")</f>
        <v xml:space="preserve">          6117 - RETIREMENT STAFF HOURLY</v>
      </c>
      <c r="C32" s="11"/>
      <c r="D32" s="7">
        <v>1146.68</v>
      </c>
      <c r="E32" s="2"/>
      <c r="F32" s="6">
        <f t="shared" si="12"/>
        <v>7.3658138350356922E-4</v>
      </c>
      <c r="G32" s="2"/>
      <c r="H32" s="7">
        <v>1526.6</v>
      </c>
      <c r="I32" s="2"/>
      <c r="J32" s="6">
        <f t="shared" si="13"/>
        <v>6.6077246317976816E-3</v>
      </c>
      <c r="K32" s="2"/>
      <c r="L32" s="7">
        <f t="shared" si="14"/>
        <v>-379.91999999999985</v>
      </c>
      <c r="M32" s="2"/>
      <c r="N32" s="6">
        <f t="shared" si="15"/>
        <v>-0.24886676274073094</v>
      </c>
      <c r="O32" s="11"/>
      <c r="P32" s="7">
        <v>4617.3</v>
      </c>
      <c r="Q32" s="2"/>
      <c r="R32" s="6">
        <f t="shared" si="16"/>
        <v>2.1627183617543076E-3</v>
      </c>
      <c r="S32" s="2"/>
      <c r="T32" s="7">
        <v>4869.62</v>
      </c>
      <c r="U32" s="2"/>
      <c r="V32" s="6">
        <f t="shared" si="17"/>
        <v>1.5919904925577953E-2</v>
      </c>
      <c r="W32" s="2"/>
      <c r="X32" s="7">
        <f t="shared" si="18"/>
        <v>-252.31999999999971</v>
      </c>
      <c r="Y32" s="2"/>
      <c r="Z32" s="6">
        <f t="shared" si="19"/>
        <v>-5.1815131365486364E-2</v>
      </c>
    </row>
    <row r="33" spans="1:26" s="24" customFormat="1" hidden="1" outlineLevel="2" x14ac:dyDescent="0.25">
      <c r="A33" s="28"/>
      <c r="B33" s="11" t="str">
        <f>CONCATENATE("          ", "6118", " - ", "VACATION")</f>
        <v xml:space="preserve">          6118 - VACATION</v>
      </c>
      <c r="C33" s="11"/>
      <c r="D33" s="7">
        <v>10120.81</v>
      </c>
      <c r="E33" s="2"/>
      <c r="F33" s="6">
        <f t="shared" si="12"/>
        <v>6.5012036766811639E-3</v>
      </c>
      <c r="G33" s="2"/>
      <c r="H33" s="7">
        <v>8977.9599999999991</v>
      </c>
      <c r="I33" s="2"/>
      <c r="J33" s="6">
        <f t="shared" si="13"/>
        <v>3.8860138500782335E-2</v>
      </c>
      <c r="K33" s="2"/>
      <c r="L33" s="7">
        <f t="shared" si="14"/>
        <v>1142.8500000000004</v>
      </c>
      <c r="M33" s="2"/>
      <c r="N33" s="6">
        <f t="shared" si="15"/>
        <v>0.12729506480314018</v>
      </c>
      <c r="O33" s="11"/>
      <c r="P33" s="7">
        <v>28804.12</v>
      </c>
      <c r="Q33" s="2"/>
      <c r="R33" s="6">
        <f t="shared" si="16"/>
        <v>1.3491694110881788E-2</v>
      </c>
      <c r="S33" s="2"/>
      <c r="T33" s="7">
        <v>25421.38</v>
      </c>
      <c r="U33" s="2"/>
      <c r="V33" s="6">
        <f t="shared" si="17"/>
        <v>8.310832317038884E-2</v>
      </c>
      <c r="W33" s="2"/>
      <c r="X33" s="7">
        <f t="shared" si="18"/>
        <v>3382.739999999998</v>
      </c>
      <c r="Y33" s="2"/>
      <c r="Z33" s="6">
        <f t="shared" si="19"/>
        <v>0.1330667335919607</v>
      </c>
    </row>
    <row r="34" spans="1:26" s="24" customFormat="1" hidden="1" outlineLevel="2" x14ac:dyDescent="0.25">
      <c r="A34" s="28"/>
      <c r="B34" s="11" t="str">
        <f>CONCATENATE("          ", "6119", " - ", "SICK LEAVE")</f>
        <v xml:space="preserve">          6119 - SICK LEAVE</v>
      </c>
      <c r="C34" s="11"/>
      <c r="D34" s="7">
        <v>7033.59</v>
      </c>
      <c r="E34" s="2"/>
      <c r="F34" s="6">
        <f t="shared" si="12"/>
        <v>4.518096987125326E-3</v>
      </c>
      <c r="G34" s="2"/>
      <c r="H34" s="7">
        <v>5575.88</v>
      </c>
      <c r="I34" s="2"/>
      <c r="J34" s="6">
        <f t="shared" si="13"/>
        <v>2.4134599515228651E-2</v>
      </c>
      <c r="K34" s="2"/>
      <c r="L34" s="7">
        <f t="shared" si="14"/>
        <v>1457.71</v>
      </c>
      <c r="M34" s="2"/>
      <c r="N34" s="6">
        <f t="shared" si="15"/>
        <v>0.26143137944145139</v>
      </c>
      <c r="O34" s="11"/>
      <c r="P34" s="7">
        <v>19296.54</v>
      </c>
      <c r="Q34" s="2"/>
      <c r="R34" s="6">
        <f t="shared" si="16"/>
        <v>9.038395030932898E-3</v>
      </c>
      <c r="S34" s="2"/>
      <c r="T34" s="7">
        <v>16806.89</v>
      </c>
      <c r="U34" s="2"/>
      <c r="V34" s="6">
        <f t="shared" si="17"/>
        <v>5.4945579099528685E-2</v>
      </c>
      <c r="W34" s="2"/>
      <c r="X34" s="7">
        <f t="shared" si="18"/>
        <v>2489.6500000000015</v>
      </c>
      <c r="Y34" s="2"/>
      <c r="Z34" s="6">
        <f t="shared" si="19"/>
        <v>0.14813270033896822</v>
      </c>
    </row>
    <row r="35" spans="1:26" s="24" customFormat="1" hidden="1" outlineLevel="2" x14ac:dyDescent="0.25">
      <c r="A35" s="28"/>
      <c r="B35" s="11" t="str">
        <f>CONCATENATE("          ", "6156", " - ", "EMPLOYEE MEALS")</f>
        <v xml:space="preserve">          6156 - EMPLOYEE MEALS</v>
      </c>
      <c r="C35" s="11"/>
      <c r="D35" s="7">
        <v>4124.0600000000004</v>
      </c>
      <c r="E35" s="2"/>
      <c r="F35" s="6">
        <f t="shared" si="12"/>
        <v>2.6491312488678008E-3</v>
      </c>
      <c r="G35" s="2"/>
      <c r="H35" s="7">
        <v>3218.92</v>
      </c>
      <c r="I35" s="2"/>
      <c r="J35" s="6">
        <f t="shared" si="13"/>
        <v>1.3932750538311408E-2</v>
      </c>
      <c r="K35" s="2"/>
      <c r="L35" s="7">
        <f t="shared" si="14"/>
        <v>905.14000000000033</v>
      </c>
      <c r="M35" s="2"/>
      <c r="N35" s="6">
        <f t="shared" si="15"/>
        <v>0.28119369229430996</v>
      </c>
      <c r="O35" s="11"/>
      <c r="P35" s="7">
        <v>11161.47</v>
      </c>
      <c r="Q35" s="2"/>
      <c r="R35" s="6">
        <f t="shared" si="16"/>
        <v>5.2279722160504727E-3</v>
      </c>
      <c r="S35" s="2"/>
      <c r="T35" s="7">
        <v>8918.6200000000008</v>
      </c>
      <c r="U35" s="2"/>
      <c r="V35" s="6">
        <f t="shared" si="17"/>
        <v>2.9157014811701545E-2</v>
      </c>
      <c r="W35" s="2"/>
      <c r="X35" s="7">
        <f t="shared" si="18"/>
        <v>2242.8499999999985</v>
      </c>
      <c r="Y35" s="2"/>
      <c r="Z35" s="6">
        <f t="shared" si="19"/>
        <v>0.2514794889792365</v>
      </c>
    </row>
    <row r="36" spans="1:26" s="27" customFormat="1" outlineLevel="1" collapsed="1" x14ac:dyDescent="0.25">
      <c r="A36" s="29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295334.95</v>
      </c>
      <c r="E36" s="1"/>
      <c r="F36" s="5">
        <f t="shared" ref="F36:F42" si="20">IF(D$12=0,0,D36/D$12)</f>
        <v>0.18971136329922683</v>
      </c>
      <c r="G36" s="1"/>
      <c r="H36" s="1">
        <f>SUM(OSRRefH22_1x_0)</f>
        <v>149938.78</v>
      </c>
      <c r="I36" s="1"/>
      <c r="J36" s="5">
        <f t="shared" ref="J36:J42" si="21">IF(H$12=0,0,H36/H$12)</f>
        <v>0.6489939537977818</v>
      </c>
      <c r="K36" s="1"/>
      <c r="L36" s="1">
        <f t="shared" ref="L36:L42" si="22">+D36-H36</f>
        <v>145396.17000000001</v>
      </c>
      <c r="M36" s="1"/>
      <c r="N36" s="5">
        <f t="shared" ref="N36:N42" si="23">IF(H36=0,0,L36/H36)</f>
        <v>0.96970356834969584</v>
      </c>
      <c r="O36" s="14"/>
      <c r="P36" s="1">
        <f>SUM(OSRRefP22_1x_0)</f>
        <v>648270.50000000012</v>
      </c>
      <c r="Q36" s="1"/>
      <c r="R36" s="5">
        <f t="shared" ref="R36:R42" si="24">IF(P$12=0,0,P36/P$12)</f>
        <v>0.30364639805376431</v>
      </c>
      <c r="S36" s="1"/>
      <c r="T36" s="1">
        <f>SUM(OSRRefT22_1x_0)</f>
        <v>391801.52999999997</v>
      </c>
      <c r="U36" s="1"/>
      <c r="V36" s="5">
        <f t="shared" ref="V36:V42" si="25">IF(T$12=0,0,T36/T$12)</f>
        <v>1.2808890852460724</v>
      </c>
      <c r="W36" s="1"/>
      <c r="X36" s="1">
        <f t="shared" ref="X36:X42" si="26">+P36-T36</f>
        <v>256468.97000000015</v>
      </c>
      <c r="Y36" s="1"/>
      <c r="Z36" s="5">
        <f t="shared" ref="Z36:Z42" si="27">IF(T36=0,0,X36/T36)</f>
        <v>0.65458899560703643</v>
      </c>
    </row>
    <row r="37" spans="1:26" s="24" customFormat="1" hidden="1" outlineLevel="2" x14ac:dyDescent="0.25">
      <c r="A37" s="28"/>
      <c r="B37" s="11" t="str">
        <f>CONCATENATE("          ", "6001", " - ", "ADMINISTRATIVE SALARIES")</f>
        <v xml:space="preserve">          6001 - ADMINISTRATIVE SALARIES</v>
      </c>
      <c r="C37" s="11"/>
      <c r="D37" s="7">
        <v>18131.38</v>
      </c>
      <c r="E37" s="2"/>
      <c r="F37" s="6">
        <f t="shared" si="20"/>
        <v>1.1646873552542073E-2</v>
      </c>
      <c r="G37" s="2"/>
      <c r="H37" s="7">
        <v>20028.82</v>
      </c>
      <c r="I37" s="2"/>
      <c r="J37" s="6">
        <f t="shared" si="21"/>
        <v>8.6692602685603332E-2</v>
      </c>
      <c r="K37" s="2"/>
      <c r="L37" s="7">
        <f t="shared" si="22"/>
        <v>-1897.4399999999987</v>
      </c>
      <c r="M37" s="2"/>
      <c r="N37" s="6">
        <f t="shared" si="23"/>
        <v>-9.4735486164436986E-2</v>
      </c>
      <c r="O37" s="11"/>
      <c r="P37" s="7">
        <v>60982.16</v>
      </c>
      <c r="Q37" s="2"/>
      <c r="R37" s="6">
        <f t="shared" si="24"/>
        <v>2.8563714112455129E-2</v>
      </c>
      <c r="S37" s="2"/>
      <c r="T37" s="7">
        <v>58880.69</v>
      </c>
      <c r="U37" s="2"/>
      <c r="V37" s="6">
        <f t="shared" si="25"/>
        <v>0.19249448350229148</v>
      </c>
      <c r="W37" s="2"/>
      <c r="X37" s="7">
        <f t="shared" si="26"/>
        <v>2101.4700000000012</v>
      </c>
      <c r="Y37" s="2"/>
      <c r="Z37" s="6">
        <f t="shared" si="27"/>
        <v>3.5690308656369366E-2</v>
      </c>
    </row>
    <row r="38" spans="1:26" s="24" customFormat="1" hidden="1" outlineLevel="2" x14ac:dyDescent="0.25">
      <c r="A38" s="28"/>
      <c r="B38" s="11" t="str">
        <f>CONCATENATE("          ", "6002", " - ", "STAFF SALARIES")</f>
        <v xml:space="preserve">          6002 - STAFF SALARIES</v>
      </c>
      <c r="C38" s="11"/>
      <c r="D38" s="7">
        <v>61046.720000000001</v>
      </c>
      <c r="E38" s="2"/>
      <c r="F38" s="6">
        <f t="shared" si="20"/>
        <v>3.9213972054936867E-2</v>
      </c>
      <c r="G38" s="2"/>
      <c r="H38" s="7">
        <v>43207.97</v>
      </c>
      <c r="I38" s="2"/>
      <c r="J38" s="6">
        <f t="shared" si="21"/>
        <v>0.18702107143912963</v>
      </c>
      <c r="K38" s="2"/>
      <c r="L38" s="7">
        <f t="shared" si="22"/>
        <v>17838.75</v>
      </c>
      <c r="M38" s="2"/>
      <c r="N38" s="6">
        <f t="shared" si="23"/>
        <v>0.41285785932549018</v>
      </c>
      <c r="O38" s="11"/>
      <c r="P38" s="7">
        <v>172114.25</v>
      </c>
      <c r="Q38" s="2"/>
      <c r="R38" s="6">
        <f t="shared" si="24"/>
        <v>8.0617384357648689E-2</v>
      </c>
      <c r="S38" s="2"/>
      <c r="T38" s="7">
        <v>140814.45000000001</v>
      </c>
      <c r="U38" s="2"/>
      <c r="V38" s="6">
        <f t="shared" si="25"/>
        <v>0.46035474146803051</v>
      </c>
      <c r="W38" s="2"/>
      <c r="X38" s="7">
        <f t="shared" si="26"/>
        <v>31299.799999999988</v>
      </c>
      <c r="Y38" s="2"/>
      <c r="Z38" s="6">
        <f t="shared" si="27"/>
        <v>0.22227690411033801</v>
      </c>
    </row>
    <row r="39" spans="1:26" s="24" customFormat="1" hidden="1" outlineLevel="2" x14ac:dyDescent="0.25">
      <c r="A39" s="28"/>
      <c r="B39" s="11" t="str">
        <f>CONCATENATE("          ", "6004", " - ", "STAFF HOURLY")</f>
        <v xml:space="preserve">          6004 - STAFF HOURLY</v>
      </c>
      <c r="C39" s="11"/>
      <c r="D39" s="7">
        <v>100733.54</v>
      </c>
      <c r="E39" s="2"/>
      <c r="F39" s="6">
        <f t="shared" si="20"/>
        <v>6.4707198397471064E-2</v>
      </c>
      <c r="G39" s="2"/>
      <c r="H39" s="7">
        <v>51879.91</v>
      </c>
      <c r="I39" s="2"/>
      <c r="J39" s="6">
        <f t="shared" si="21"/>
        <v>0.2245566351385084</v>
      </c>
      <c r="K39" s="2"/>
      <c r="L39" s="7">
        <f t="shared" si="22"/>
        <v>48853.62999999999</v>
      </c>
      <c r="M39" s="2"/>
      <c r="N39" s="6">
        <f t="shared" si="23"/>
        <v>0.94166759348657292</v>
      </c>
      <c r="O39" s="11"/>
      <c r="P39" s="7">
        <v>203750.49</v>
      </c>
      <c r="Q39" s="2"/>
      <c r="R39" s="6">
        <f t="shared" si="24"/>
        <v>9.5435628167855113E-2</v>
      </c>
      <c r="S39" s="2"/>
      <c r="T39" s="7">
        <v>134351.10999999999</v>
      </c>
      <c r="U39" s="2"/>
      <c r="V39" s="6">
        <f t="shared" si="25"/>
        <v>0.43922460024516602</v>
      </c>
      <c r="W39" s="2"/>
      <c r="X39" s="7">
        <f t="shared" si="26"/>
        <v>69399.38</v>
      </c>
      <c r="Y39" s="2"/>
      <c r="Z39" s="6">
        <f t="shared" si="27"/>
        <v>0.5165523381235928</v>
      </c>
    </row>
    <row r="40" spans="1:26" s="24" customFormat="1" hidden="1" outlineLevel="2" x14ac:dyDescent="0.25">
      <c r="A40" s="28"/>
      <c r="B40" s="11" t="str">
        <f>CONCATENATE("          ", "6005", " - ", "TEMPORARY WAGES-HOURLY")</f>
        <v xml:space="preserve">          6005 - TEMPORARY WAGES-HOURLY</v>
      </c>
      <c r="C40" s="11"/>
      <c r="D40" s="7">
        <v>51606.39</v>
      </c>
      <c r="E40" s="2"/>
      <c r="F40" s="6">
        <f t="shared" si="20"/>
        <v>3.3149881522155054E-2</v>
      </c>
      <c r="G40" s="2"/>
      <c r="H40" s="7">
        <v>14833.31</v>
      </c>
      <c r="I40" s="2"/>
      <c r="J40" s="6">
        <f t="shared" si="21"/>
        <v>6.4204393985386396E-2</v>
      </c>
      <c r="K40" s="2"/>
      <c r="L40" s="7">
        <f t="shared" si="22"/>
        <v>36773.08</v>
      </c>
      <c r="M40" s="2"/>
      <c r="N40" s="6">
        <f t="shared" si="23"/>
        <v>2.4790879446327221</v>
      </c>
      <c r="O40" s="11"/>
      <c r="P40" s="7">
        <v>79502.62</v>
      </c>
      <c r="Q40" s="2"/>
      <c r="R40" s="6">
        <f t="shared" si="24"/>
        <v>3.7238597466392749E-2</v>
      </c>
      <c r="S40" s="2"/>
      <c r="T40" s="7">
        <v>15941.51</v>
      </c>
      <c r="U40" s="2"/>
      <c r="V40" s="6">
        <f t="shared" si="25"/>
        <v>5.2116453351627075E-2</v>
      </c>
      <c r="W40" s="2"/>
      <c r="X40" s="7">
        <f t="shared" si="26"/>
        <v>63561.109999999993</v>
      </c>
      <c r="Y40" s="2"/>
      <c r="Z40" s="6">
        <f t="shared" si="27"/>
        <v>3.9871448815074602</v>
      </c>
    </row>
    <row r="41" spans="1:26" s="24" customFormat="1" hidden="1" outlineLevel="2" x14ac:dyDescent="0.25">
      <c r="A41" s="28"/>
      <c r="B41" s="11" t="str">
        <f>CONCATENATE("          ", "6007", " - ", "STUDENT HOURLY")</f>
        <v xml:space="preserve">          6007 - STUDENT HOURLY</v>
      </c>
      <c r="C41" s="11"/>
      <c r="D41" s="7">
        <v>60858.720000000001</v>
      </c>
      <c r="E41" s="2"/>
      <c r="F41" s="6">
        <f t="shared" si="20"/>
        <v>3.9093208371870386E-2</v>
      </c>
      <c r="G41" s="2"/>
      <c r="H41" s="7">
        <v>16902.439999999999</v>
      </c>
      <c r="I41" s="2"/>
      <c r="J41" s="6">
        <f t="shared" si="21"/>
        <v>7.3160401628116337E-2</v>
      </c>
      <c r="K41" s="2"/>
      <c r="L41" s="7">
        <f t="shared" si="22"/>
        <v>43956.28</v>
      </c>
      <c r="M41" s="2"/>
      <c r="N41" s="6">
        <f t="shared" si="23"/>
        <v>2.6005878441219137</v>
      </c>
      <c r="O41" s="11"/>
      <c r="P41" s="7">
        <v>127333.32</v>
      </c>
      <c r="Q41" s="2"/>
      <c r="R41" s="6">
        <f t="shared" si="24"/>
        <v>5.9642238803442924E-2</v>
      </c>
      <c r="S41" s="2"/>
      <c r="T41" s="7">
        <v>38111.11</v>
      </c>
      <c r="U41" s="2"/>
      <c r="V41" s="6">
        <f t="shared" si="25"/>
        <v>0.12459396170712361</v>
      </c>
      <c r="W41" s="2"/>
      <c r="X41" s="7">
        <f t="shared" si="26"/>
        <v>89222.21</v>
      </c>
      <c r="Y41" s="2"/>
      <c r="Z41" s="6">
        <f t="shared" si="27"/>
        <v>2.3411076192742746</v>
      </c>
    </row>
    <row r="42" spans="1:26" s="24" customFormat="1" hidden="1" outlineLevel="2" x14ac:dyDescent="0.25">
      <c r="A42" s="28"/>
      <c r="B42" s="11" t="str">
        <f>CONCATENATE("          ", "6008", " - ", "STUDENT HOURLY-FICA EXEMPT")</f>
        <v xml:space="preserve">          6008 - STUDENT HOURLY-FICA EXEMPT</v>
      </c>
      <c r="C42" s="11"/>
      <c r="D42" s="7">
        <v>2958.2</v>
      </c>
      <c r="E42" s="2"/>
      <c r="F42" s="6">
        <f t="shared" si="20"/>
        <v>1.900229400251385E-3</v>
      </c>
      <c r="G42" s="2"/>
      <c r="H42" s="7">
        <v>3086.33</v>
      </c>
      <c r="I42" s="2"/>
      <c r="J42" s="6">
        <f t="shared" si="21"/>
        <v>1.3358848921037692E-2</v>
      </c>
      <c r="K42" s="2"/>
      <c r="L42" s="7">
        <f t="shared" si="22"/>
        <v>-128.13000000000011</v>
      </c>
      <c r="M42" s="2"/>
      <c r="N42" s="6">
        <f t="shared" si="23"/>
        <v>-4.1515327265716925E-2</v>
      </c>
      <c r="O42" s="11"/>
      <c r="P42" s="7">
        <v>4587.66</v>
      </c>
      <c r="Q42" s="2"/>
      <c r="R42" s="6">
        <f t="shared" si="24"/>
        <v>2.1488351459696721E-3</v>
      </c>
      <c r="S42" s="2"/>
      <c r="T42" s="7">
        <v>3702.66</v>
      </c>
      <c r="U42" s="2"/>
      <c r="V42" s="6">
        <f t="shared" si="25"/>
        <v>1.2104844971833627E-2</v>
      </c>
      <c r="W42" s="2"/>
      <c r="X42" s="7">
        <f t="shared" si="26"/>
        <v>885</v>
      </c>
      <c r="Y42" s="2"/>
      <c r="Z42" s="6">
        <f t="shared" si="27"/>
        <v>0.23901735509066455</v>
      </c>
    </row>
    <row r="43" spans="1:26" s="27" customFormat="1" outlineLevel="1" collapsed="1" x14ac:dyDescent="0.25">
      <c r="A43" s="29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933.53</v>
      </c>
      <c r="E43" s="1"/>
      <c r="F43" s="5">
        <f t="shared" ref="F43:F51" si="28">IF(D$12=0,0,D43/D$12)</f>
        <v>5.9966234602686617E-4</v>
      </c>
      <c r="G43" s="1"/>
      <c r="H43" s="1">
        <f>SUM(OSRRefH22_2x_0)</f>
        <v>49.61</v>
      </c>
      <c r="I43" s="1"/>
      <c r="J43" s="5">
        <f t="shared" ref="J43:J51" si="29">IF(H$12=0,0,H43/H$12)</f>
        <v>2.147315727652843E-4</v>
      </c>
      <c r="K43" s="1"/>
      <c r="L43" s="1">
        <f t="shared" ref="L43:L51" si="30">+D43-H43</f>
        <v>883.92</v>
      </c>
      <c r="M43" s="1"/>
      <c r="N43" s="5">
        <f t="shared" ref="N43:N51" si="31">IF(H43=0,0,L43/H43)</f>
        <v>17.81737552912719</v>
      </c>
      <c r="O43" s="14"/>
      <c r="P43" s="1">
        <f>SUM(OSRRefP22_2x_0)</f>
        <v>3497.96</v>
      </c>
      <c r="Q43" s="1"/>
      <c r="R43" s="5">
        <f t="shared" ref="R43:R51" si="32">IF(P$12=0,0,P43/P$12)</f>
        <v>1.638425556208628E-3</v>
      </c>
      <c r="S43" s="1"/>
      <c r="T43" s="1">
        <f>SUM(OSRRefT22_2x_0)</f>
        <v>1524.58</v>
      </c>
      <c r="U43" s="1"/>
      <c r="V43" s="5">
        <f t="shared" ref="V43:V51" si="33">IF(T$12=0,0,T43/T$12)</f>
        <v>4.9842017757931083E-3</v>
      </c>
      <c r="W43" s="1"/>
      <c r="X43" s="1">
        <f t="shared" ref="X43:X51" si="34">+P43-T43</f>
        <v>1973.38</v>
      </c>
      <c r="Y43" s="1"/>
      <c r="Z43" s="5">
        <f t="shared" ref="Z43:Z51" si="35">IF(T43=0,0,X43/T43)</f>
        <v>1.2943761560560942</v>
      </c>
    </row>
    <row r="44" spans="1:26" s="24" customFormat="1" hidden="1" outlineLevel="2" x14ac:dyDescent="0.25">
      <c r="A44" s="28"/>
      <c r="B44" s="11" t="str">
        <f>CONCATENATE("          ", "6362", " - ", "ADVERTISING EXPENSE")</f>
        <v xml:space="preserve">          6362 - ADVERTISING EXPENSE</v>
      </c>
      <c r="C44" s="11"/>
      <c r="D44" s="7">
        <v>933.53</v>
      </c>
      <c r="E44" s="2"/>
      <c r="F44" s="6">
        <f t="shared" si="28"/>
        <v>5.9966234602686617E-4</v>
      </c>
      <c r="G44" s="2"/>
      <c r="H44" s="7">
        <v>49.61</v>
      </c>
      <c r="I44" s="2"/>
      <c r="J44" s="6">
        <f t="shared" si="29"/>
        <v>2.147315727652843E-4</v>
      </c>
      <c r="K44" s="2"/>
      <c r="L44" s="7">
        <f t="shared" si="30"/>
        <v>883.92</v>
      </c>
      <c r="M44" s="2"/>
      <c r="N44" s="6">
        <f t="shared" si="31"/>
        <v>17.81737552912719</v>
      </c>
      <c r="O44" s="11"/>
      <c r="P44" s="7">
        <v>3497.96</v>
      </c>
      <c r="Q44" s="2"/>
      <c r="R44" s="6">
        <f t="shared" si="32"/>
        <v>1.638425556208628E-3</v>
      </c>
      <c r="S44" s="2"/>
      <c r="T44" s="7">
        <v>1524.58</v>
      </c>
      <c r="U44" s="2"/>
      <c r="V44" s="6">
        <f t="shared" si="33"/>
        <v>4.9842017757931083E-3</v>
      </c>
      <c r="W44" s="2"/>
      <c r="X44" s="7">
        <f t="shared" si="34"/>
        <v>1973.38</v>
      </c>
      <c r="Y44" s="2"/>
      <c r="Z44" s="6">
        <f t="shared" si="35"/>
        <v>1.2943761560560942</v>
      </c>
    </row>
    <row r="45" spans="1:26" s="27" customFormat="1" outlineLevel="1" collapsed="1" x14ac:dyDescent="0.25">
      <c r="A45" s="29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SUM(OSRRefD22_3x_0)</f>
        <v>-7.95</v>
      </c>
      <c r="E45" s="1"/>
      <c r="F45" s="5">
        <f t="shared" si="28"/>
        <v>-5.1067621296729475E-6</v>
      </c>
      <c r="G45" s="1"/>
      <c r="H45" s="1">
        <f>SUM(OSRRefH22_3x_0)</f>
        <v>-163.63999999999999</v>
      </c>
      <c r="I45" s="1"/>
      <c r="J45" s="5">
        <f t="shared" si="29"/>
        <v>-7.0829821744227209E-4</v>
      </c>
      <c r="K45" s="1"/>
      <c r="L45" s="1">
        <f t="shared" si="30"/>
        <v>155.69</v>
      </c>
      <c r="M45" s="1"/>
      <c r="N45" s="5">
        <f t="shared" si="31"/>
        <v>-0.95141774627230513</v>
      </c>
      <c r="O45" s="14"/>
      <c r="P45" s="1">
        <f>SUM(OSRRefP22_3x_0)</f>
        <v>-115.19</v>
      </c>
      <c r="Q45" s="1"/>
      <c r="R45" s="5">
        <f t="shared" si="32"/>
        <v>-5.395437335466153E-5</v>
      </c>
      <c r="S45" s="1"/>
      <c r="T45" s="1">
        <f>SUM(OSRRefT22_3x_0)</f>
        <v>-131.78</v>
      </c>
      <c r="U45" s="1"/>
      <c r="V45" s="5">
        <f t="shared" si="33"/>
        <v>-4.3081905181362466E-4</v>
      </c>
      <c r="W45" s="1"/>
      <c r="X45" s="1">
        <f t="shared" si="34"/>
        <v>16.590000000000003</v>
      </c>
      <c r="Y45" s="1"/>
      <c r="Z45" s="5">
        <f t="shared" si="35"/>
        <v>-0.12589163757778118</v>
      </c>
    </row>
    <row r="46" spans="1:26" s="24" customFormat="1" hidden="1" outlineLevel="2" x14ac:dyDescent="0.25">
      <c r="A46" s="28"/>
      <c r="B46" s="11" t="str">
        <f>CONCATENATE("          ", "6272", " - ", "CASH (OVER/SHORT)")</f>
        <v xml:space="preserve">          6272 - CASH (OVER/SHORT)</v>
      </c>
      <c r="C46" s="11"/>
      <c r="D46" s="7">
        <v>-7.95</v>
      </c>
      <c r="E46" s="2"/>
      <c r="F46" s="6">
        <f t="shared" si="28"/>
        <v>-5.1067621296729475E-6</v>
      </c>
      <c r="G46" s="2"/>
      <c r="H46" s="7">
        <v>-163.63999999999999</v>
      </c>
      <c r="I46" s="2"/>
      <c r="J46" s="6">
        <f t="shared" si="29"/>
        <v>-7.0829821744227209E-4</v>
      </c>
      <c r="K46" s="2"/>
      <c r="L46" s="7">
        <f t="shared" si="30"/>
        <v>155.69</v>
      </c>
      <c r="M46" s="2"/>
      <c r="N46" s="6">
        <f t="shared" si="31"/>
        <v>-0.95141774627230513</v>
      </c>
      <c r="O46" s="11"/>
      <c r="P46" s="7">
        <v>-115.19</v>
      </c>
      <c r="Q46" s="2"/>
      <c r="R46" s="6">
        <f t="shared" si="32"/>
        <v>-5.395437335466153E-5</v>
      </c>
      <c r="S46" s="2"/>
      <c r="T46" s="7">
        <v>-131.78</v>
      </c>
      <c r="U46" s="2"/>
      <c r="V46" s="6">
        <f t="shared" si="33"/>
        <v>-4.3081905181362466E-4</v>
      </c>
      <c r="W46" s="2"/>
      <c r="X46" s="7">
        <f t="shared" si="34"/>
        <v>16.590000000000003</v>
      </c>
      <c r="Y46" s="2"/>
      <c r="Z46" s="6">
        <f t="shared" si="35"/>
        <v>-0.12589163757778118</v>
      </c>
    </row>
    <row r="47" spans="1:26" s="27" customFormat="1" outlineLevel="1" collapsed="1" x14ac:dyDescent="0.25">
      <c r="A47" s="29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SUM(OSRRefD22_4x_0)</f>
        <v>4934.43</v>
      </c>
      <c r="E47" s="1"/>
      <c r="F47" s="5">
        <f t="shared" si="28"/>
        <v>3.1696805352857964E-3</v>
      </c>
      <c r="G47" s="1"/>
      <c r="H47" s="1">
        <f>SUM(OSRRefH22_4x_0)</f>
        <v>493.43</v>
      </c>
      <c r="I47" s="1"/>
      <c r="J47" s="5">
        <f t="shared" si="29"/>
        <v>2.1357589185562235E-3</v>
      </c>
      <c r="K47" s="1"/>
      <c r="L47" s="1">
        <f t="shared" si="30"/>
        <v>4441</v>
      </c>
      <c r="M47" s="1"/>
      <c r="N47" s="5">
        <f t="shared" si="31"/>
        <v>9.0002634618892241</v>
      </c>
      <c r="O47" s="14"/>
      <c r="P47" s="1">
        <f>SUM(OSRRefP22_4x_0)</f>
        <v>8407.8700000000008</v>
      </c>
      <c r="Q47" s="1"/>
      <c r="R47" s="5">
        <f t="shared" si="32"/>
        <v>3.9382008602956691E-3</v>
      </c>
      <c r="S47" s="1"/>
      <c r="T47" s="1">
        <f>SUM(OSRRefT22_4x_0)</f>
        <v>1109.32</v>
      </c>
      <c r="U47" s="1"/>
      <c r="V47" s="5">
        <f t="shared" si="33"/>
        <v>3.6266215704802707E-3</v>
      </c>
      <c r="W47" s="1"/>
      <c r="X47" s="1">
        <f t="shared" si="34"/>
        <v>7298.5500000000011</v>
      </c>
      <c r="Y47" s="1"/>
      <c r="Z47" s="5">
        <f t="shared" si="35"/>
        <v>6.579300832942705</v>
      </c>
    </row>
    <row r="48" spans="1:26" s="24" customFormat="1" hidden="1" outlineLevel="2" x14ac:dyDescent="0.25">
      <c r="A48" s="28"/>
      <c r="B48" s="11" t="str">
        <f>CONCATENATE("          ", "6381", " - ", "BANK/CREDIT CARD FEES")</f>
        <v xml:space="preserve">          6381 - BANK/CREDIT CARD FEES</v>
      </c>
      <c r="C48" s="11"/>
      <c r="D48" s="7">
        <v>4934.43</v>
      </c>
      <c r="E48" s="2"/>
      <c r="F48" s="6">
        <f t="shared" si="28"/>
        <v>3.1696805352857964E-3</v>
      </c>
      <c r="G48" s="2"/>
      <c r="H48" s="7">
        <v>493.43</v>
      </c>
      <c r="I48" s="2"/>
      <c r="J48" s="6">
        <f t="shared" si="29"/>
        <v>2.1357589185562235E-3</v>
      </c>
      <c r="K48" s="2"/>
      <c r="L48" s="7">
        <f t="shared" si="30"/>
        <v>4441</v>
      </c>
      <c r="M48" s="2"/>
      <c r="N48" s="6">
        <f t="shared" si="31"/>
        <v>9.0002634618892241</v>
      </c>
      <c r="O48" s="11"/>
      <c r="P48" s="7">
        <v>8407.8700000000008</v>
      </c>
      <c r="Q48" s="2"/>
      <c r="R48" s="6">
        <f t="shared" si="32"/>
        <v>3.9382008602956691E-3</v>
      </c>
      <c r="S48" s="2"/>
      <c r="T48" s="7">
        <v>1109.32</v>
      </c>
      <c r="U48" s="2"/>
      <c r="V48" s="6">
        <f t="shared" si="33"/>
        <v>3.6266215704802707E-3</v>
      </c>
      <c r="W48" s="2"/>
      <c r="X48" s="7">
        <f t="shared" si="34"/>
        <v>7298.5500000000011</v>
      </c>
      <c r="Y48" s="2"/>
      <c r="Z48" s="6">
        <f t="shared" si="35"/>
        <v>6.579300832942705</v>
      </c>
    </row>
    <row r="49" spans="1:26" s="27" customFormat="1" outlineLevel="1" collapsed="1" x14ac:dyDescent="0.25">
      <c r="A49" s="29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33542.080000000002</v>
      </c>
      <c r="E49" s="1"/>
      <c r="F49" s="5">
        <f t="shared" si="28"/>
        <v>2.1546091055906966E-2</v>
      </c>
      <c r="G49" s="1"/>
      <c r="H49" s="1">
        <f>SUM(OSRRefH22_5x_0)</f>
        <v>38440.44</v>
      </c>
      <c r="I49" s="1"/>
      <c r="J49" s="5">
        <f t="shared" si="29"/>
        <v>0.16638532834084954</v>
      </c>
      <c r="K49" s="1"/>
      <c r="L49" s="1">
        <f t="shared" si="30"/>
        <v>-4898.3600000000006</v>
      </c>
      <c r="M49" s="1"/>
      <c r="N49" s="5">
        <f t="shared" si="31"/>
        <v>-0.12742726149856767</v>
      </c>
      <c r="O49" s="14"/>
      <c r="P49" s="1">
        <f>SUM(OSRRefP22_5x_0)</f>
        <v>100714.38</v>
      </c>
      <c r="Q49" s="1"/>
      <c r="R49" s="5">
        <f t="shared" si="32"/>
        <v>4.7174071192840145E-2</v>
      </c>
      <c r="S49" s="1"/>
      <c r="T49" s="1">
        <f>SUM(OSRRefT22_5x_0)</f>
        <v>114675.49</v>
      </c>
      <c r="U49" s="1"/>
      <c r="V49" s="5">
        <f t="shared" si="33"/>
        <v>0.37490048465672182</v>
      </c>
      <c r="W49" s="1"/>
      <c r="X49" s="1">
        <f t="shared" si="34"/>
        <v>-13961.11</v>
      </c>
      <c r="Y49" s="1"/>
      <c r="Z49" s="5">
        <f t="shared" si="35"/>
        <v>-0.12174449832305055</v>
      </c>
    </row>
    <row r="50" spans="1:26" s="24" customFormat="1" hidden="1" outlineLevel="2" x14ac:dyDescent="0.25">
      <c r="A50" s="28"/>
      <c r="B50" s="11" t="str">
        <f>CONCATENATE("          ", "6321", " - ", "BUILDING DEPRECIATION")</f>
        <v xml:space="preserve">          6321 - BUILDING DEPRECIATION</v>
      </c>
      <c r="C50" s="11"/>
      <c r="D50" s="7">
        <v>23539.4</v>
      </c>
      <c r="E50" s="2"/>
      <c r="F50" s="6">
        <f t="shared" si="28"/>
        <v>1.5120769367952626E-2</v>
      </c>
      <c r="G50" s="2"/>
      <c r="H50" s="7">
        <v>23844.880000000001</v>
      </c>
      <c r="I50" s="2"/>
      <c r="J50" s="6">
        <f t="shared" si="29"/>
        <v>0.10321000977221272</v>
      </c>
      <c r="K50" s="2"/>
      <c r="L50" s="7">
        <f t="shared" si="30"/>
        <v>-305.47999999999956</v>
      </c>
      <c r="M50" s="2"/>
      <c r="N50" s="6">
        <f t="shared" si="31"/>
        <v>-1.2811135975521771E-2</v>
      </c>
      <c r="O50" s="11"/>
      <c r="P50" s="7">
        <v>70706.34</v>
      </c>
      <c r="Q50" s="2"/>
      <c r="R50" s="6">
        <f t="shared" si="32"/>
        <v>3.3118467461599431E-2</v>
      </c>
      <c r="S50" s="2"/>
      <c r="T50" s="7">
        <v>71534.66</v>
      </c>
      <c r="U50" s="2"/>
      <c r="V50" s="6">
        <f t="shared" si="33"/>
        <v>0.23386321439528021</v>
      </c>
      <c r="W50" s="2"/>
      <c r="X50" s="7">
        <f t="shared" si="34"/>
        <v>-828.32000000000698</v>
      </c>
      <c r="Y50" s="2"/>
      <c r="Z50" s="6">
        <f t="shared" si="35"/>
        <v>-1.1579281987221397E-2</v>
      </c>
    </row>
    <row r="51" spans="1:26" s="24" customFormat="1" hidden="1" outlineLevel="2" x14ac:dyDescent="0.25">
      <c r="A51" s="28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10002.68</v>
      </c>
      <c r="E51" s="2"/>
      <c r="F51" s="6">
        <f t="shared" si="28"/>
        <v>6.4253216879543388E-3</v>
      </c>
      <c r="G51" s="2"/>
      <c r="H51" s="7">
        <v>14595.56</v>
      </c>
      <c r="I51" s="2"/>
      <c r="J51" s="6">
        <f t="shared" si="29"/>
        <v>6.3175318568636826E-2</v>
      </c>
      <c r="K51" s="2"/>
      <c r="L51" s="7">
        <f t="shared" si="30"/>
        <v>-4592.8799999999992</v>
      </c>
      <c r="M51" s="2"/>
      <c r="N51" s="6">
        <f t="shared" si="31"/>
        <v>-0.31467651806439761</v>
      </c>
      <c r="O51" s="11"/>
      <c r="P51" s="7">
        <v>30008.04</v>
      </c>
      <c r="Q51" s="2"/>
      <c r="R51" s="6">
        <f t="shared" si="32"/>
        <v>1.405560373124071E-2</v>
      </c>
      <c r="S51" s="2"/>
      <c r="T51" s="7">
        <v>43140.83</v>
      </c>
      <c r="U51" s="2"/>
      <c r="V51" s="6">
        <f t="shared" si="33"/>
        <v>0.14103727026144161</v>
      </c>
      <c r="W51" s="2"/>
      <c r="X51" s="7">
        <f t="shared" si="34"/>
        <v>-13132.79</v>
      </c>
      <c r="Y51" s="2"/>
      <c r="Z51" s="6">
        <f t="shared" si="35"/>
        <v>-0.30441672077240983</v>
      </c>
    </row>
    <row r="52" spans="1:26" s="27" customFormat="1" outlineLevel="1" collapsed="1" x14ac:dyDescent="0.25">
      <c r="A52" s="29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9653.6200000000008</v>
      </c>
      <c r="E52" s="1"/>
      <c r="F52" s="5">
        <f t="shared" ref="F52:F73" si="36">IF(D$12=0,0,D52/D$12)</f>
        <v>6.2010995006608E-3</v>
      </c>
      <c r="G52" s="1"/>
      <c r="H52" s="1">
        <f>SUM(OSRRefH22_6x_0)</f>
        <v>8888.07</v>
      </c>
      <c r="I52" s="1"/>
      <c r="J52" s="5">
        <f t="shared" ref="J52:J73" si="37">IF(H$12=0,0,H52/H$12)</f>
        <v>3.8471059261196136E-2</v>
      </c>
      <c r="K52" s="1"/>
      <c r="L52" s="1">
        <f t="shared" ref="L52:L73" si="38">+D52-H52</f>
        <v>765.55000000000109</v>
      </c>
      <c r="M52" s="1"/>
      <c r="N52" s="5">
        <f t="shared" ref="N52:N73" si="39">IF(H52=0,0,L52/H52)</f>
        <v>8.6132309939053256E-2</v>
      </c>
      <c r="O52" s="14"/>
      <c r="P52" s="1">
        <f>SUM(OSRRefP22_6x_0)</f>
        <v>13915.18</v>
      </c>
      <c r="Q52" s="1"/>
      <c r="R52" s="5">
        <f t="shared" ref="R52:R73" si="40">IF(P$12=0,0,P52/P$12)</f>
        <v>6.5177950952106873E-3</v>
      </c>
      <c r="S52" s="1"/>
      <c r="T52" s="1">
        <f>SUM(OSRRefT22_6x_0)</f>
        <v>11110.09</v>
      </c>
      <c r="U52" s="1"/>
      <c r="V52" s="5">
        <f t="shared" ref="V52:V73" si="41">IF(T$12=0,0,T52/T$12)</f>
        <v>3.6321432989558609E-2</v>
      </c>
      <c r="W52" s="1"/>
      <c r="X52" s="1">
        <f t="shared" ref="X52:X73" si="42">+P52-T52</f>
        <v>2805.09</v>
      </c>
      <c r="Y52" s="1"/>
      <c r="Z52" s="5">
        <f t="shared" ref="Z52:Z73" si="43">IF(T52=0,0,X52/T52)</f>
        <v>0.25248130303174865</v>
      </c>
    </row>
    <row r="53" spans="1:26" s="24" customFormat="1" hidden="1" outlineLevel="2" x14ac:dyDescent="0.25">
      <c r="A53" s="28"/>
      <c r="B53" s="11" t="str">
        <f>CONCATENATE("          ", "6399", " - ", "DONATION-ON CAMPUS")</f>
        <v xml:space="preserve">          6399 - DONATION-ON CAMPUS</v>
      </c>
      <c r="C53" s="11"/>
      <c r="D53" s="7">
        <v>9653.6200000000008</v>
      </c>
      <c r="E53" s="2"/>
      <c r="F53" s="6">
        <f t="shared" si="36"/>
        <v>6.2010995006608E-3</v>
      </c>
      <c r="G53" s="2"/>
      <c r="H53" s="7">
        <v>8888.07</v>
      </c>
      <c r="I53" s="2"/>
      <c r="J53" s="6">
        <f t="shared" si="37"/>
        <v>3.8471059261196136E-2</v>
      </c>
      <c r="K53" s="2"/>
      <c r="L53" s="7">
        <f t="shared" si="38"/>
        <v>765.55000000000109</v>
      </c>
      <c r="M53" s="2"/>
      <c r="N53" s="6">
        <f t="shared" si="39"/>
        <v>8.6132309939053256E-2</v>
      </c>
      <c r="O53" s="11"/>
      <c r="P53" s="7">
        <v>13915.18</v>
      </c>
      <c r="Q53" s="2"/>
      <c r="R53" s="6">
        <f t="shared" si="40"/>
        <v>6.5177950952106873E-3</v>
      </c>
      <c r="S53" s="2"/>
      <c r="T53" s="7">
        <v>11110.09</v>
      </c>
      <c r="U53" s="2"/>
      <c r="V53" s="6">
        <f t="shared" si="41"/>
        <v>3.6321432989558609E-2</v>
      </c>
      <c r="W53" s="2"/>
      <c r="X53" s="7">
        <f t="shared" si="42"/>
        <v>2805.09</v>
      </c>
      <c r="Y53" s="2"/>
      <c r="Z53" s="6">
        <f t="shared" si="43"/>
        <v>0.25248130303174865</v>
      </c>
    </row>
    <row r="54" spans="1:26" s="27" customFormat="1" outlineLevel="1" collapsed="1" x14ac:dyDescent="0.25">
      <c r="A54" s="29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14.49</v>
      </c>
      <c r="E54" s="1"/>
      <c r="F54" s="5">
        <f t="shared" si="36"/>
        <v>9.3077966363472964E-6</v>
      </c>
      <c r="G54" s="1"/>
      <c r="H54" s="1">
        <f>SUM(OSRRefH22_7x_0)</f>
        <v>0</v>
      </c>
      <c r="I54" s="1"/>
      <c r="J54" s="5">
        <f t="shared" si="37"/>
        <v>0</v>
      </c>
      <c r="K54" s="1"/>
      <c r="L54" s="1">
        <f t="shared" si="38"/>
        <v>14.49</v>
      </c>
      <c r="M54" s="1"/>
      <c r="N54" s="5">
        <f t="shared" si="39"/>
        <v>0</v>
      </c>
      <c r="O54" s="14"/>
      <c r="P54" s="1">
        <f>SUM(OSRRefP22_7x_0)</f>
        <v>32.49</v>
      </c>
      <c r="Q54" s="1"/>
      <c r="R54" s="5">
        <f t="shared" si="40"/>
        <v>1.5218140379312033E-5</v>
      </c>
      <c r="S54" s="1"/>
      <c r="T54" s="1">
        <f>SUM(OSRRefT22_7x_0)</f>
        <v>0</v>
      </c>
      <c r="U54" s="1"/>
      <c r="V54" s="5">
        <f t="shared" si="41"/>
        <v>0</v>
      </c>
      <c r="W54" s="1"/>
      <c r="X54" s="1">
        <f t="shared" si="42"/>
        <v>32.49</v>
      </c>
      <c r="Y54" s="1"/>
      <c r="Z54" s="5">
        <f t="shared" si="43"/>
        <v>0</v>
      </c>
    </row>
    <row r="55" spans="1:26" s="24" customFormat="1" hidden="1" outlineLevel="2" x14ac:dyDescent="0.25">
      <c r="A55" s="28"/>
      <c r="B55" s="11" t="str">
        <f>CONCATENATE("          ", "6277", " - ", "EMPLOYEE APPRECIATION")</f>
        <v xml:space="preserve">          6277 - EMPLOYEE APPRECIATION</v>
      </c>
      <c r="C55" s="11"/>
      <c r="D55" s="7">
        <v>14.49</v>
      </c>
      <c r="E55" s="2"/>
      <c r="F55" s="6">
        <f t="shared" si="36"/>
        <v>9.3077966363472964E-6</v>
      </c>
      <c r="G55" s="2"/>
      <c r="H55" s="7"/>
      <c r="I55" s="2"/>
      <c r="J55" s="6">
        <f t="shared" si="37"/>
        <v>0</v>
      </c>
      <c r="K55" s="2"/>
      <c r="L55" s="7">
        <f t="shared" si="38"/>
        <v>14.49</v>
      </c>
      <c r="M55" s="2"/>
      <c r="N55" s="6">
        <f t="shared" si="39"/>
        <v>0</v>
      </c>
      <c r="O55" s="11"/>
      <c r="P55" s="7">
        <v>32.49</v>
      </c>
      <c r="Q55" s="2"/>
      <c r="R55" s="6">
        <f t="shared" si="40"/>
        <v>1.5218140379312033E-5</v>
      </c>
      <c r="S55" s="2"/>
      <c r="T55" s="7"/>
      <c r="U55" s="2"/>
      <c r="V55" s="6">
        <f t="shared" si="41"/>
        <v>0</v>
      </c>
      <c r="W55" s="2"/>
      <c r="X55" s="7">
        <f t="shared" si="42"/>
        <v>32.49</v>
      </c>
      <c r="Y55" s="2"/>
      <c r="Z55" s="6">
        <f t="shared" si="43"/>
        <v>0</v>
      </c>
    </row>
    <row r="56" spans="1:26" s="27" customFormat="1" outlineLevel="1" collapsed="1" x14ac:dyDescent="0.25">
      <c r="A56" s="29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411.46</v>
      </c>
      <c r="E56" s="1"/>
      <c r="F56" s="5">
        <f t="shared" si="36"/>
        <v>2.6430545231134978E-4</v>
      </c>
      <c r="G56" s="1"/>
      <c r="H56" s="1">
        <f>SUM(OSRRefH22_8x_0)</f>
        <v>885.78</v>
      </c>
      <c r="I56" s="1"/>
      <c r="J56" s="5">
        <f t="shared" si="37"/>
        <v>3.8340038807505245E-3</v>
      </c>
      <c r="K56" s="1"/>
      <c r="L56" s="1">
        <f t="shared" si="38"/>
        <v>-474.32</v>
      </c>
      <c r="M56" s="1"/>
      <c r="N56" s="5">
        <f t="shared" si="39"/>
        <v>-0.53548285127232498</v>
      </c>
      <c r="O56" s="14"/>
      <c r="P56" s="1">
        <f>SUM(OSRRefP22_8x_0)</f>
        <v>7009.04</v>
      </c>
      <c r="Q56" s="1"/>
      <c r="R56" s="5">
        <f t="shared" si="40"/>
        <v>3.2829964494987137E-3</v>
      </c>
      <c r="S56" s="1"/>
      <c r="T56" s="1">
        <f>SUM(OSRRefT22_8x_0)</f>
        <v>2975.29</v>
      </c>
      <c r="U56" s="1"/>
      <c r="V56" s="5">
        <f t="shared" si="41"/>
        <v>9.7269055749776845E-3</v>
      </c>
      <c r="W56" s="1"/>
      <c r="X56" s="1">
        <f t="shared" si="42"/>
        <v>4033.75</v>
      </c>
      <c r="Y56" s="1"/>
      <c r="Z56" s="5">
        <f t="shared" si="43"/>
        <v>1.3557501957792351</v>
      </c>
    </row>
    <row r="57" spans="1:26" s="24" customFormat="1" hidden="1" outlineLevel="2" x14ac:dyDescent="0.25">
      <c r="A57" s="28"/>
      <c r="B57" s="11" t="str">
        <f>CONCATENATE("          ", "6351", " - ", "EQUIPMENT RENTAL")</f>
        <v xml:space="preserve">          6351 - EQUIPMENT RENTAL</v>
      </c>
      <c r="C57" s="11"/>
      <c r="D57" s="7">
        <v>411.46</v>
      </c>
      <c r="E57" s="2"/>
      <c r="F57" s="6">
        <f t="shared" si="36"/>
        <v>2.6430545231134978E-4</v>
      </c>
      <c r="G57" s="2"/>
      <c r="H57" s="7">
        <v>885.78</v>
      </c>
      <c r="I57" s="2"/>
      <c r="J57" s="6">
        <f t="shared" si="37"/>
        <v>3.8340038807505245E-3</v>
      </c>
      <c r="K57" s="2"/>
      <c r="L57" s="7">
        <f t="shared" si="38"/>
        <v>-474.32</v>
      </c>
      <c r="M57" s="2"/>
      <c r="N57" s="6">
        <f t="shared" si="39"/>
        <v>-0.53548285127232498</v>
      </c>
      <c r="O57" s="11"/>
      <c r="P57" s="7">
        <v>7009.04</v>
      </c>
      <c r="Q57" s="2"/>
      <c r="R57" s="6">
        <f t="shared" si="40"/>
        <v>3.2829964494987137E-3</v>
      </c>
      <c r="S57" s="2"/>
      <c r="T57" s="7">
        <v>2975.29</v>
      </c>
      <c r="U57" s="2"/>
      <c r="V57" s="6">
        <f t="shared" si="41"/>
        <v>9.7269055749776845E-3</v>
      </c>
      <c r="W57" s="2"/>
      <c r="X57" s="7">
        <f t="shared" si="42"/>
        <v>4033.75</v>
      </c>
      <c r="Y57" s="2"/>
      <c r="Z57" s="6">
        <f t="shared" si="43"/>
        <v>1.3557501957792351</v>
      </c>
    </row>
    <row r="58" spans="1:26" s="27" customFormat="1" outlineLevel="1" collapsed="1" x14ac:dyDescent="0.25">
      <c r="A58" s="29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SUM(OSRRefD22_9x_0)</f>
        <v>0</v>
      </c>
      <c r="E58" s="1"/>
      <c r="F58" s="5">
        <f t="shared" si="36"/>
        <v>0</v>
      </c>
      <c r="G58" s="1"/>
      <c r="H58" s="1">
        <f>SUM(OSRRefH22_9x_0)</f>
        <v>-5.41</v>
      </c>
      <c r="I58" s="1"/>
      <c r="J58" s="5">
        <f t="shared" si="37"/>
        <v>-2.3416605697645398E-5</v>
      </c>
      <c r="K58" s="1"/>
      <c r="L58" s="1">
        <f t="shared" si="38"/>
        <v>5.41</v>
      </c>
      <c r="M58" s="1"/>
      <c r="N58" s="5">
        <f t="shared" si="39"/>
        <v>-1</v>
      </c>
      <c r="O58" s="14"/>
      <c r="P58" s="1">
        <f>SUM(OSRRefP22_9x_0)</f>
        <v>0</v>
      </c>
      <c r="Q58" s="1"/>
      <c r="R58" s="5">
        <f t="shared" si="40"/>
        <v>0</v>
      </c>
      <c r="S58" s="1"/>
      <c r="T58" s="1">
        <f>SUM(OSRRefT22_9x_0)</f>
        <v>-5.41</v>
      </c>
      <c r="U58" s="1"/>
      <c r="V58" s="5">
        <f t="shared" si="41"/>
        <v>-1.7686531114825537E-5</v>
      </c>
      <c r="W58" s="1"/>
      <c r="X58" s="1">
        <f t="shared" si="42"/>
        <v>5.41</v>
      </c>
      <c r="Y58" s="1"/>
      <c r="Z58" s="5">
        <f t="shared" si="43"/>
        <v>-1</v>
      </c>
    </row>
    <row r="59" spans="1:26" s="24" customFormat="1" hidden="1" outlineLevel="2" x14ac:dyDescent="0.25">
      <c r="A59" s="28"/>
      <c r="B59" s="11" t="str">
        <f>CONCATENATE("          ", "6307", " - ", "POSTAGE")</f>
        <v xml:space="preserve">          6307 - POSTAGE</v>
      </c>
      <c r="C59" s="11"/>
      <c r="D59" s="7"/>
      <c r="E59" s="2"/>
      <c r="F59" s="6">
        <f t="shared" si="36"/>
        <v>0</v>
      </c>
      <c r="G59" s="2"/>
      <c r="H59" s="7">
        <v>-5.41</v>
      </c>
      <c r="I59" s="2"/>
      <c r="J59" s="6">
        <f t="shared" si="37"/>
        <v>-2.3416605697645398E-5</v>
      </c>
      <c r="K59" s="2"/>
      <c r="L59" s="7">
        <f t="shared" si="38"/>
        <v>5.41</v>
      </c>
      <c r="M59" s="2"/>
      <c r="N59" s="6">
        <f t="shared" si="39"/>
        <v>-1</v>
      </c>
      <c r="O59" s="11"/>
      <c r="P59" s="7"/>
      <c r="Q59" s="2"/>
      <c r="R59" s="6">
        <f t="shared" si="40"/>
        <v>0</v>
      </c>
      <c r="S59" s="2"/>
      <c r="T59" s="7">
        <v>-5.41</v>
      </c>
      <c r="U59" s="2"/>
      <c r="V59" s="6">
        <f t="shared" si="41"/>
        <v>-1.7686531114825537E-5</v>
      </c>
      <c r="W59" s="2"/>
      <c r="X59" s="7">
        <f t="shared" si="42"/>
        <v>5.41</v>
      </c>
      <c r="Y59" s="2"/>
      <c r="Z59" s="6">
        <f t="shared" si="43"/>
        <v>-1</v>
      </c>
    </row>
    <row r="60" spans="1:26" s="27" customFormat="1" outlineLevel="1" collapsed="1" x14ac:dyDescent="0.25">
      <c r="A60" s="29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SUM(OSRRefD22_10x_0)</f>
        <v>5273</v>
      </c>
      <c r="E60" s="1"/>
      <c r="F60" s="5">
        <f t="shared" si="36"/>
        <v>3.3871643660082326E-3</v>
      </c>
      <c r="G60" s="1"/>
      <c r="H60" s="1">
        <f>SUM(OSRRefH22_10x_0)</f>
        <v>552.16999999999996</v>
      </c>
      <c r="I60" s="1"/>
      <c r="J60" s="5">
        <f t="shared" si="37"/>
        <v>2.3900087186818591E-3</v>
      </c>
      <c r="K60" s="1"/>
      <c r="L60" s="1">
        <f t="shared" si="38"/>
        <v>4720.83</v>
      </c>
      <c r="M60" s="1"/>
      <c r="N60" s="5">
        <f t="shared" si="39"/>
        <v>8.5495952333520471</v>
      </c>
      <c r="O60" s="14"/>
      <c r="P60" s="1">
        <f>SUM(OSRRefP22_10x_0)</f>
        <v>23197.31</v>
      </c>
      <c r="Q60" s="1"/>
      <c r="R60" s="5">
        <f t="shared" si="40"/>
        <v>1.0865494613801749E-2</v>
      </c>
      <c r="S60" s="1"/>
      <c r="T60" s="1">
        <f>SUM(OSRRefT22_10x_0)</f>
        <v>10147.4</v>
      </c>
      <c r="U60" s="1"/>
      <c r="V60" s="5">
        <f t="shared" si="41"/>
        <v>3.3174178527648923E-2</v>
      </c>
      <c r="W60" s="1"/>
      <c r="X60" s="1">
        <f t="shared" si="42"/>
        <v>13049.910000000002</v>
      </c>
      <c r="Y60" s="1"/>
      <c r="Z60" s="5">
        <f t="shared" si="43"/>
        <v>1.2860348463645863</v>
      </c>
    </row>
    <row r="61" spans="1:26" s="24" customFormat="1" hidden="1" outlineLevel="2" x14ac:dyDescent="0.25">
      <c r="A61" s="28"/>
      <c r="B61" s="11" t="str">
        <f>CONCATENATE("          ", "6279", " - ", "GENERAL EXPENSE")</f>
        <v xml:space="preserve">          6279 - GENERAL EXPENSE</v>
      </c>
      <c r="C61" s="11"/>
      <c r="D61" s="7">
        <v>5273</v>
      </c>
      <c r="E61" s="2"/>
      <c r="F61" s="6">
        <f t="shared" si="36"/>
        <v>3.3871643660082326E-3</v>
      </c>
      <c r="G61" s="2"/>
      <c r="H61" s="7">
        <v>552.16999999999996</v>
      </c>
      <c r="I61" s="2"/>
      <c r="J61" s="6">
        <f t="shared" si="37"/>
        <v>2.3900087186818591E-3</v>
      </c>
      <c r="K61" s="2"/>
      <c r="L61" s="7">
        <f t="shared" si="38"/>
        <v>4720.83</v>
      </c>
      <c r="M61" s="2"/>
      <c r="N61" s="6">
        <f t="shared" si="39"/>
        <v>8.5495952333520471</v>
      </c>
      <c r="O61" s="11"/>
      <c r="P61" s="7">
        <v>23197.31</v>
      </c>
      <c r="Q61" s="2"/>
      <c r="R61" s="6">
        <f t="shared" si="40"/>
        <v>1.0865494613801749E-2</v>
      </c>
      <c r="S61" s="2"/>
      <c r="T61" s="7">
        <v>10147.4</v>
      </c>
      <c r="U61" s="2"/>
      <c r="V61" s="6">
        <f t="shared" si="41"/>
        <v>3.3174178527648923E-2</v>
      </c>
      <c r="W61" s="2"/>
      <c r="X61" s="7">
        <f t="shared" si="42"/>
        <v>13049.910000000002</v>
      </c>
      <c r="Y61" s="2"/>
      <c r="Z61" s="6">
        <f t="shared" si="43"/>
        <v>1.2860348463645863</v>
      </c>
    </row>
    <row r="62" spans="1:26" s="27" customFormat="1" outlineLevel="1" collapsed="1" x14ac:dyDescent="0.25">
      <c r="A62" s="29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SUM(OSRRefD22_11x_0)</f>
        <v>5761.42</v>
      </c>
      <c r="E62" s="1"/>
      <c r="F62" s="5">
        <f t="shared" si="36"/>
        <v>3.7009058451748819E-3</v>
      </c>
      <c r="G62" s="1"/>
      <c r="H62" s="1">
        <f>SUM(OSRRefH22_11x_0)</f>
        <v>4246.03</v>
      </c>
      <c r="I62" s="1"/>
      <c r="J62" s="5">
        <f t="shared" si="37"/>
        <v>1.8378486190457167E-2</v>
      </c>
      <c r="K62" s="1"/>
      <c r="L62" s="1">
        <f t="shared" si="38"/>
        <v>1515.3900000000003</v>
      </c>
      <c r="M62" s="1"/>
      <c r="N62" s="5">
        <f t="shared" si="39"/>
        <v>0.35689573554591003</v>
      </c>
      <c r="O62" s="14"/>
      <c r="P62" s="1">
        <f>SUM(OSRRefP22_11x_0)</f>
        <v>17284.27</v>
      </c>
      <c r="Q62" s="1"/>
      <c r="R62" s="5">
        <f t="shared" si="40"/>
        <v>8.0958586400102055E-3</v>
      </c>
      <c r="S62" s="1"/>
      <c r="T62" s="1">
        <f>SUM(OSRRefT22_11x_0)</f>
        <v>12738.09</v>
      </c>
      <c r="U62" s="1"/>
      <c r="V62" s="5">
        <f t="shared" si="41"/>
        <v>4.1643738471062487E-2</v>
      </c>
      <c r="W62" s="1"/>
      <c r="X62" s="1">
        <f t="shared" si="42"/>
        <v>4546.18</v>
      </c>
      <c r="Y62" s="1"/>
      <c r="Z62" s="5">
        <f t="shared" si="43"/>
        <v>0.35689652059296179</v>
      </c>
    </row>
    <row r="63" spans="1:26" s="24" customFormat="1" hidden="1" outlineLevel="2" x14ac:dyDescent="0.25">
      <c r="A63" s="28"/>
      <c r="B63" s="11" t="str">
        <f>CONCATENATE("          ", "6314", " - ", "LIABILITY INSURANCE")</f>
        <v xml:space="preserve">          6314 - LIABILITY INSURANCE</v>
      </c>
      <c r="C63" s="11"/>
      <c r="D63" s="7">
        <v>5761.42</v>
      </c>
      <c r="E63" s="2"/>
      <c r="F63" s="6">
        <f t="shared" si="36"/>
        <v>3.7009058451748819E-3</v>
      </c>
      <c r="G63" s="2"/>
      <c r="H63" s="7">
        <v>4246.03</v>
      </c>
      <c r="I63" s="2"/>
      <c r="J63" s="6">
        <f t="shared" si="37"/>
        <v>1.8378486190457167E-2</v>
      </c>
      <c r="K63" s="2"/>
      <c r="L63" s="7">
        <f t="shared" si="38"/>
        <v>1515.3900000000003</v>
      </c>
      <c r="M63" s="2"/>
      <c r="N63" s="6">
        <f t="shared" si="39"/>
        <v>0.35689573554591003</v>
      </c>
      <c r="O63" s="11"/>
      <c r="P63" s="7">
        <v>17284.27</v>
      </c>
      <c r="Q63" s="2"/>
      <c r="R63" s="6">
        <f t="shared" si="40"/>
        <v>8.0958586400102055E-3</v>
      </c>
      <c r="S63" s="2"/>
      <c r="T63" s="7">
        <v>12738.09</v>
      </c>
      <c r="U63" s="2"/>
      <c r="V63" s="6">
        <f t="shared" si="41"/>
        <v>4.1643738471062487E-2</v>
      </c>
      <c r="W63" s="2"/>
      <c r="X63" s="7">
        <f t="shared" si="42"/>
        <v>4546.18</v>
      </c>
      <c r="Y63" s="2"/>
      <c r="Z63" s="6">
        <f t="shared" si="43"/>
        <v>0.35689652059296179</v>
      </c>
    </row>
    <row r="64" spans="1:26" s="27" customFormat="1" outlineLevel="1" collapsed="1" x14ac:dyDescent="0.25">
      <c r="A64" s="29"/>
      <c r="B64" s="14" t="str">
        <f>CONCATENATE("     ","Interest                                          ")</f>
        <v xml:space="preserve">     Interest                                          </v>
      </c>
      <c r="C64" s="14"/>
      <c r="D64" s="1">
        <f>SUM(OSRRefD22_12x_0)</f>
        <v>7253</v>
      </c>
      <c r="E64" s="1"/>
      <c r="F64" s="5">
        <f t="shared" si="36"/>
        <v>4.6590371983041366E-3</v>
      </c>
      <c r="G64" s="1"/>
      <c r="H64" s="1">
        <f>SUM(OSRRefH22_12x_0)</f>
        <v>7510</v>
      </c>
      <c r="I64" s="1"/>
      <c r="J64" s="5">
        <f t="shared" si="37"/>
        <v>3.2506230829818288E-2</v>
      </c>
      <c r="K64" s="1"/>
      <c r="L64" s="1">
        <f t="shared" si="38"/>
        <v>-257</v>
      </c>
      <c r="M64" s="1"/>
      <c r="N64" s="5">
        <f t="shared" si="39"/>
        <v>-3.4221038615179764E-2</v>
      </c>
      <c r="O64" s="14"/>
      <c r="P64" s="1">
        <f>SUM(OSRRefP22_12x_0)</f>
        <v>21759</v>
      </c>
      <c r="Q64" s="1"/>
      <c r="R64" s="5">
        <f t="shared" si="40"/>
        <v>1.0191797984409065E-2</v>
      </c>
      <c r="S64" s="1"/>
      <c r="T64" s="1">
        <f>SUM(OSRRefT22_12x_0)</f>
        <v>22530</v>
      </c>
      <c r="U64" s="1"/>
      <c r="V64" s="5">
        <f t="shared" si="41"/>
        <v>7.3655738635308568E-2</v>
      </c>
      <c r="W64" s="1"/>
      <c r="X64" s="1">
        <f t="shared" si="42"/>
        <v>-771</v>
      </c>
      <c r="Y64" s="1"/>
      <c r="Z64" s="5">
        <f t="shared" si="43"/>
        <v>-3.4221038615179764E-2</v>
      </c>
    </row>
    <row r="65" spans="1:26" s="24" customFormat="1" hidden="1" outlineLevel="2" x14ac:dyDescent="0.25">
      <c r="A65" s="28"/>
      <c r="B65" s="11" t="str">
        <f>CONCATENATE("          ", "6401", " - ", "INTEREST EXPENSE")</f>
        <v xml:space="preserve">          6401 - INTEREST EXPENSE</v>
      </c>
      <c r="C65" s="11"/>
      <c r="D65" s="7">
        <v>7253</v>
      </c>
      <c r="E65" s="2"/>
      <c r="F65" s="6">
        <f t="shared" si="36"/>
        <v>4.6590371983041366E-3</v>
      </c>
      <c r="G65" s="2"/>
      <c r="H65" s="7">
        <v>7510</v>
      </c>
      <c r="I65" s="2"/>
      <c r="J65" s="6">
        <f t="shared" si="37"/>
        <v>3.2506230829818288E-2</v>
      </c>
      <c r="K65" s="2"/>
      <c r="L65" s="7">
        <f t="shared" si="38"/>
        <v>-257</v>
      </c>
      <c r="M65" s="2"/>
      <c r="N65" s="6">
        <f t="shared" si="39"/>
        <v>-3.4221038615179764E-2</v>
      </c>
      <c r="O65" s="11"/>
      <c r="P65" s="7">
        <v>21759</v>
      </c>
      <c r="Q65" s="2"/>
      <c r="R65" s="6">
        <f t="shared" si="40"/>
        <v>1.0191797984409065E-2</v>
      </c>
      <c r="S65" s="2"/>
      <c r="T65" s="7">
        <v>22530</v>
      </c>
      <c r="U65" s="2"/>
      <c r="V65" s="6">
        <f t="shared" si="41"/>
        <v>7.3655738635308568E-2</v>
      </c>
      <c r="W65" s="2"/>
      <c r="X65" s="7">
        <f t="shared" si="42"/>
        <v>-771</v>
      </c>
      <c r="Y65" s="2"/>
      <c r="Z65" s="6">
        <f t="shared" si="43"/>
        <v>-3.4221038615179764E-2</v>
      </c>
    </row>
    <row r="66" spans="1:26" s="27" customFormat="1" outlineLevel="1" collapsed="1" x14ac:dyDescent="0.25">
      <c r="A66" s="29"/>
      <c r="B66" s="14" t="str">
        <f>CONCATENATE("     ","R/H Commissions                                   ")</f>
        <v xml:space="preserve">     R/H Commissions                                   </v>
      </c>
      <c r="C66" s="14"/>
      <c r="D66" s="1">
        <f>SUM(OSRRefD22_13x_0)</f>
        <v>102646.99</v>
      </c>
      <c r="E66" s="1"/>
      <c r="F66" s="5">
        <f t="shared" si="36"/>
        <v>6.5936322170681474E-2</v>
      </c>
      <c r="G66" s="1"/>
      <c r="H66" s="1">
        <f>SUM(OSRRefH22_13x_0)</f>
        <v>11792.03</v>
      </c>
      <c r="I66" s="1"/>
      <c r="J66" s="5">
        <f t="shared" si="37"/>
        <v>5.104053916539842E-2</v>
      </c>
      <c r="K66" s="1"/>
      <c r="L66" s="1">
        <f t="shared" si="38"/>
        <v>90854.96</v>
      </c>
      <c r="M66" s="1"/>
      <c r="N66" s="5">
        <f t="shared" si="39"/>
        <v>7.7047768704794679</v>
      </c>
      <c r="O66" s="14"/>
      <c r="P66" s="1">
        <f>SUM(OSRRefP22_13x_0)</f>
        <v>142802.99</v>
      </c>
      <c r="Q66" s="1"/>
      <c r="R66" s="5">
        <f t="shared" si="40"/>
        <v>6.6888148612049628E-2</v>
      </c>
      <c r="S66" s="1"/>
      <c r="T66" s="1">
        <f>SUM(OSRRefT22_13x_0)</f>
        <v>16477.52</v>
      </c>
      <c r="U66" s="1"/>
      <c r="V66" s="5">
        <f t="shared" si="41"/>
        <v>5.3868793008347522E-2</v>
      </c>
      <c r="W66" s="1"/>
      <c r="X66" s="1">
        <f t="shared" si="42"/>
        <v>126325.46999999999</v>
      </c>
      <c r="Y66" s="1"/>
      <c r="Z66" s="5">
        <f t="shared" si="43"/>
        <v>7.6665341629080093</v>
      </c>
    </row>
    <row r="67" spans="1:26" s="24" customFormat="1" hidden="1" outlineLevel="2" x14ac:dyDescent="0.25">
      <c r="A67" s="28"/>
      <c r="B67" s="11" t="str">
        <f>CONCATENATE("          ", "6387", " - ", "COMMISSION DUE HOUSING")</f>
        <v xml:space="preserve">          6387 - COMMISSION DUE HOUSING</v>
      </c>
      <c r="C67" s="11"/>
      <c r="D67" s="7">
        <v>102646.99</v>
      </c>
      <c r="E67" s="2"/>
      <c r="F67" s="6">
        <f t="shared" si="36"/>
        <v>6.5936322170681474E-2</v>
      </c>
      <c r="G67" s="2"/>
      <c r="H67" s="7">
        <v>11792.03</v>
      </c>
      <c r="I67" s="2"/>
      <c r="J67" s="6">
        <f t="shared" si="37"/>
        <v>5.104053916539842E-2</v>
      </c>
      <c r="K67" s="2"/>
      <c r="L67" s="7">
        <f t="shared" si="38"/>
        <v>90854.96</v>
      </c>
      <c r="M67" s="2"/>
      <c r="N67" s="6">
        <f t="shared" si="39"/>
        <v>7.7047768704794679</v>
      </c>
      <c r="O67" s="11"/>
      <c r="P67" s="7">
        <v>142802.99</v>
      </c>
      <c r="Q67" s="2"/>
      <c r="R67" s="6">
        <f t="shared" si="40"/>
        <v>6.6888148612049628E-2</v>
      </c>
      <c r="S67" s="2"/>
      <c r="T67" s="7">
        <v>16477.52</v>
      </c>
      <c r="U67" s="2"/>
      <c r="V67" s="6">
        <f t="shared" si="41"/>
        <v>5.3868793008347522E-2</v>
      </c>
      <c r="W67" s="2"/>
      <c r="X67" s="7">
        <f t="shared" si="42"/>
        <v>126325.46999999999</v>
      </c>
      <c r="Y67" s="2"/>
      <c r="Z67" s="6">
        <f t="shared" si="43"/>
        <v>7.6665341629080093</v>
      </c>
    </row>
    <row r="68" spans="1:26" s="27" customFormat="1" outlineLevel="1" collapsed="1" x14ac:dyDescent="0.25">
      <c r="A68" s="29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SUM(OSRRefD22_14x_0)</f>
        <v>1850</v>
      </c>
      <c r="E68" s="1"/>
      <c r="F68" s="5">
        <f t="shared" si="36"/>
        <v>1.1883660301754656E-3</v>
      </c>
      <c r="G68" s="1"/>
      <c r="H68" s="1">
        <f>SUM(OSRRefH22_14x_0)</f>
        <v>5550</v>
      </c>
      <c r="I68" s="1"/>
      <c r="J68" s="5">
        <f t="shared" si="37"/>
        <v>2.4022580706456922E-2</v>
      </c>
      <c r="K68" s="1"/>
      <c r="L68" s="1">
        <f t="shared" si="38"/>
        <v>-3700</v>
      </c>
      <c r="M68" s="1"/>
      <c r="N68" s="5">
        <f t="shared" si="39"/>
        <v>-0.66666666666666663</v>
      </c>
      <c r="O68" s="14"/>
      <c r="P68" s="1">
        <f>SUM(OSRRefP22_14x_0)</f>
        <v>5550</v>
      </c>
      <c r="Q68" s="1"/>
      <c r="R68" s="5">
        <f t="shared" si="40"/>
        <v>2.5995900001594885E-3</v>
      </c>
      <c r="S68" s="1"/>
      <c r="T68" s="1">
        <f>SUM(OSRRefT22_14x_0)</f>
        <v>5550</v>
      </c>
      <c r="U68" s="1"/>
      <c r="V68" s="5">
        <f t="shared" si="41"/>
        <v>1.8144223232399583E-2</v>
      </c>
      <c r="W68" s="1"/>
      <c r="X68" s="1">
        <f t="shared" si="42"/>
        <v>0</v>
      </c>
      <c r="Y68" s="1"/>
      <c r="Z68" s="5">
        <f t="shared" si="43"/>
        <v>0</v>
      </c>
    </row>
    <row r="69" spans="1:26" s="24" customFormat="1" hidden="1" outlineLevel="2" x14ac:dyDescent="0.25">
      <c r="A69" s="28"/>
      <c r="B69" s="11" t="str">
        <f>CONCATENATE("          ", "6273", " - ", "RENT")</f>
        <v xml:space="preserve">          6273 - RENT</v>
      </c>
      <c r="C69" s="11"/>
      <c r="D69" s="7">
        <v>1850</v>
      </c>
      <c r="E69" s="2"/>
      <c r="F69" s="6">
        <f t="shared" si="36"/>
        <v>1.1883660301754656E-3</v>
      </c>
      <c r="G69" s="2"/>
      <c r="H69" s="7">
        <v>5550</v>
      </c>
      <c r="I69" s="2"/>
      <c r="J69" s="6">
        <f t="shared" si="37"/>
        <v>2.4022580706456922E-2</v>
      </c>
      <c r="K69" s="2"/>
      <c r="L69" s="7">
        <f t="shared" si="38"/>
        <v>-3700</v>
      </c>
      <c r="M69" s="2"/>
      <c r="N69" s="6">
        <f t="shared" si="39"/>
        <v>-0.66666666666666663</v>
      </c>
      <c r="O69" s="11"/>
      <c r="P69" s="7">
        <v>5550</v>
      </c>
      <c r="Q69" s="2"/>
      <c r="R69" s="6">
        <f t="shared" si="40"/>
        <v>2.5995900001594885E-3</v>
      </c>
      <c r="S69" s="2"/>
      <c r="T69" s="7">
        <v>5550</v>
      </c>
      <c r="U69" s="2"/>
      <c r="V69" s="6">
        <f t="shared" si="41"/>
        <v>1.8144223232399583E-2</v>
      </c>
      <c r="W69" s="2"/>
      <c r="X69" s="7">
        <f t="shared" si="42"/>
        <v>0</v>
      </c>
      <c r="Y69" s="2"/>
      <c r="Z69" s="6">
        <f t="shared" si="43"/>
        <v>0</v>
      </c>
    </row>
    <row r="70" spans="1:26" s="27" customFormat="1" outlineLevel="1" collapsed="1" x14ac:dyDescent="0.25">
      <c r="A70" s="29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SUM(OSRRefD22_15x_0)</f>
        <v>6973.89</v>
      </c>
      <c r="E70" s="1"/>
      <c r="F70" s="5">
        <f t="shared" si="36"/>
        <v>4.4797480941515559E-3</v>
      </c>
      <c r="G70" s="1"/>
      <c r="H70" s="1">
        <f>SUM(OSRRefH22_15x_0)</f>
        <v>3046.76</v>
      </c>
      <c r="I70" s="1"/>
      <c r="J70" s="5">
        <f t="shared" si="37"/>
        <v>1.3187574413190035E-2</v>
      </c>
      <c r="K70" s="1"/>
      <c r="L70" s="1">
        <f t="shared" si="38"/>
        <v>3927.13</v>
      </c>
      <c r="M70" s="1"/>
      <c r="N70" s="5">
        <f t="shared" si="39"/>
        <v>1.2889528548359568</v>
      </c>
      <c r="O70" s="14"/>
      <c r="P70" s="1">
        <f>SUM(OSRRefP22_15x_0)</f>
        <v>40270.44</v>
      </c>
      <c r="Q70" s="1"/>
      <c r="R70" s="5">
        <f t="shared" si="40"/>
        <v>1.8862456419103186E-2</v>
      </c>
      <c r="S70" s="1"/>
      <c r="T70" s="1">
        <f>SUM(OSRRefT22_15x_0)</f>
        <v>13921.23</v>
      </c>
      <c r="U70" s="1"/>
      <c r="V70" s="5">
        <f t="shared" si="41"/>
        <v>4.5511694556680721E-2</v>
      </c>
      <c r="W70" s="1"/>
      <c r="X70" s="1">
        <f t="shared" si="42"/>
        <v>26349.210000000003</v>
      </c>
      <c r="Y70" s="1"/>
      <c r="Z70" s="5">
        <f t="shared" si="43"/>
        <v>1.892735771192632</v>
      </c>
    </row>
    <row r="71" spans="1:26" s="24" customFormat="1" hidden="1" outlineLevel="2" x14ac:dyDescent="0.25">
      <c r="A71" s="28"/>
      <c r="B71" s="11" t="str">
        <f>CONCATENATE("          ", "6371", " - ", "COMPUTER SOFTWARE MAINTENANCE")</f>
        <v xml:space="preserve">          6371 - COMPUTER SOFTWARE MAINTENANCE</v>
      </c>
      <c r="C71" s="11"/>
      <c r="D71" s="7">
        <v>3500</v>
      </c>
      <c r="E71" s="2"/>
      <c r="F71" s="6">
        <f t="shared" si="36"/>
        <v>2.2482600570887189E-3</v>
      </c>
      <c r="G71" s="2"/>
      <c r="H71" s="7"/>
      <c r="I71" s="2"/>
      <c r="J71" s="6">
        <f t="shared" si="37"/>
        <v>0</v>
      </c>
      <c r="K71" s="2"/>
      <c r="L71" s="7">
        <f t="shared" si="38"/>
        <v>3500</v>
      </c>
      <c r="M71" s="2"/>
      <c r="N71" s="6">
        <f t="shared" si="39"/>
        <v>0</v>
      </c>
      <c r="O71" s="11"/>
      <c r="P71" s="7">
        <v>15677.72</v>
      </c>
      <c r="Q71" s="2"/>
      <c r="R71" s="6">
        <f t="shared" si="40"/>
        <v>7.3433593040180926E-3</v>
      </c>
      <c r="S71" s="2"/>
      <c r="T71" s="7"/>
      <c r="U71" s="2"/>
      <c r="V71" s="6">
        <f t="shared" si="41"/>
        <v>0</v>
      </c>
      <c r="W71" s="2"/>
      <c r="X71" s="7">
        <f t="shared" si="42"/>
        <v>15677.72</v>
      </c>
      <c r="Y71" s="2"/>
      <c r="Z71" s="6">
        <f t="shared" si="43"/>
        <v>0</v>
      </c>
    </row>
    <row r="72" spans="1:26" s="24" customFormat="1" hidden="1" outlineLevel="2" x14ac:dyDescent="0.25">
      <c r="A72" s="28"/>
      <c r="B72" s="11" t="str">
        <f>CONCATENATE("          ", "6373", " - ", "MAINTENANCE CONTRACTS")</f>
        <v xml:space="preserve">          6373 - MAINTENANCE CONTRACTS</v>
      </c>
      <c r="C72" s="11"/>
      <c r="D72" s="7">
        <v>1125.43</v>
      </c>
      <c r="E72" s="2"/>
      <c r="F72" s="6">
        <f t="shared" si="36"/>
        <v>7.2293123315695913E-4</v>
      </c>
      <c r="G72" s="2"/>
      <c r="H72" s="7">
        <v>1889.94</v>
      </c>
      <c r="I72" s="2"/>
      <c r="J72" s="6">
        <f t="shared" si="37"/>
        <v>8.1804029153803963E-3</v>
      </c>
      <c r="K72" s="2"/>
      <c r="L72" s="7">
        <f t="shared" si="38"/>
        <v>-764.51</v>
      </c>
      <c r="M72" s="2"/>
      <c r="N72" s="6">
        <f t="shared" si="39"/>
        <v>-0.40451548726414593</v>
      </c>
      <c r="O72" s="11"/>
      <c r="P72" s="7">
        <v>1140.3</v>
      </c>
      <c r="Q72" s="2"/>
      <c r="R72" s="6">
        <f t="shared" si="40"/>
        <v>5.341103562489846E-4</v>
      </c>
      <c r="S72" s="2"/>
      <c r="T72" s="7">
        <v>8406.19</v>
      </c>
      <c r="U72" s="2"/>
      <c r="V72" s="6">
        <f t="shared" si="41"/>
        <v>2.7481763584498206E-2</v>
      </c>
      <c r="W72" s="2"/>
      <c r="X72" s="7">
        <f t="shared" si="42"/>
        <v>-7265.89</v>
      </c>
      <c r="Y72" s="2"/>
      <c r="Z72" s="6">
        <f t="shared" si="43"/>
        <v>-0.86434996115957408</v>
      </c>
    </row>
    <row r="73" spans="1:26" s="24" customFormat="1" hidden="1" outlineLevel="2" x14ac:dyDescent="0.25">
      <c r="A73" s="28"/>
      <c r="B73" s="11" t="str">
        <f>CONCATENATE("          ", "6375", " - ", "OUTSIDE REPAIRS &amp; MAINTENANCE")</f>
        <v xml:space="preserve">          6375 - OUTSIDE REPAIRS &amp; MAINTENANCE</v>
      </c>
      <c r="C73" s="11"/>
      <c r="D73" s="7">
        <v>2348.46</v>
      </c>
      <c r="E73" s="2"/>
      <c r="F73" s="6">
        <f t="shared" si="36"/>
        <v>1.5085568039058779E-3</v>
      </c>
      <c r="G73" s="2"/>
      <c r="H73" s="7">
        <v>1156.82</v>
      </c>
      <c r="I73" s="2"/>
      <c r="J73" s="6">
        <f t="shared" si="37"/>
        <v>5.0071714978096385E-3</v>
      </c>
      <c r="K73" s="2"/>
      <c r="L73" s="7">
        <f t="shared" si="38"/>
        <v>1191.6400000000001</v>
      </c>
      <c r="M73" s="2"/>
      <c r="N73" s="6">
        <f t="shared" si="39"/>
        <v>1.0300997562282812</v>
      </c>
      <c r="O73" s="11"/>
      <c r="P73" s="7">
        <v>23452.42</v>
      </c>
      <c r="Q73" s="2"/>
      <c r="R73" s="6">
        <f t="shared" si="40"/>
        <v>1.0984986758836105E-2</v>
      </c>
      <c r="S73" s="2"/>
      <c r="T73" s="7">
        <v>5515.04</v>
      </c>
      <c r="U73" s="2"/>
      <c r="V73" s="6">
        <f t="shared" si="41"/>
        <v>1.8029930972182522E-2</v>
      </c>
      <c r="W73" s="2"/>
      <c r="X73" s="7">
        <f t="shared" si="42"/>
        <v>17937.379999999997</v>
      </c>
      <c r="Y73" s="2"/>
      <c r="Z73" s="6">
        <f t="shared" si="43"/>
        <v>3.2524478516928248</v>
      </c>
    </row>
    <row r="74" spans="1:26" s="27" customFormat="1" outlineLevel="1" collapsed="1" x14ac:dyDescent="0.25">
      <c r="A74" s="29"/>
      <c r="B74" s="14" t="str">
        <f>CONCATENATE("     ","Services                                          ")</f>
        <v xml:space="preserve">     Services                                          </v>
      </c>
      <c r="C74" s="14"/>
      <c r="D74" s="1">
        <f>SUM(OSRRefD22_16x_0)</f>
        <v>21490.87</v>
      </c>
      <c r="E74" s="1"/>
      <c r="F74" s="5">
        <f t="shared" ref="F74:F78" si="44">IF(D$12=0,0,D74/D$12)</f>
        <v>1.3804875603738923E-2</v>
      </c>
      <c r="G74" s="1"/>
      <c r="H74" s="1">
        <f>SUM(OSRRefH22_16x_0)</f>
        <v>17313.03</v>
      </c>
      <c r="I74" s="1"/>
      <c r="J74" s="5">
        <f t="shared" ref="J74:J78" si="45">IF(H$12=0,0,H74/H$12)</f>
        <v>7.4937596477172949E-2</v>
      </c>
      <c r="K74" s="1"/>
      <c r="L74" s="1">
        <f t="shared" ref="L74:L78" si="46">+D74-H74</f>
        <v>4177.84</v>
      </c>
      <c r="M74" s="1"/>
      <c r="N74" s="5">
        <f t="shared" ref="N74:N78" si="47">IF(H74=0,0,L74/H74)</f>
        <v>0.24131189052407351</v>
      </c>
      <c r="O74" s="14"/>
      <c r="P74" s="1">
        <f>SUM(OSRRefP22_16x_0)</f>
        <v>68977.11</v>
      </c>
      <c r="Q74" s="1"/>
      <c r="R74" s="5">
        <f t="shared" ref="R74:R78" si="48">IF(P$12=0,0,P74/P$12)</f>
        <v>3.2308505476738927E-2</v>
      </c>
      <c r="S74" s="1"/>
      <c r="T74" s="1">
        <f>SUM(OSRRefT22_16x_0)</f>
        <v>42294.310000000005</v>
      </c>
      <c r="U74" s="1"/>
      <c r="V74" s="5">
        <f t="shared" ref="V74:V78" si="49">IF(T$12=0,0,T74/T$12)</f>
        <v>0.13826980218023605</v>
      </c>
      <c r="W74" s="1"/>
      <c r="X74" s="1">
        <f t="shared" ref="X74:X78" si="50">+P74-T74</f>
        <v>26682.799999999996</v>
      </c>
      <c r="Y74" s="1"/>
      <c r="Z74" s="5">
        <f t="shared" ref="Z74:Z78" si="51">IF(T74=0,0,X74/T74)</f>
        <v>0.63088391795492094</v>
      </c>
    </row>
    <row r="75" spans="1:26" s="24" customFormat="1" hidden="1" outlineLevel="2" x14ac:dyDescent="0.25">
      <c r="A75" s="28"/>
      <c r="B75" s="11" t="str">
        <f>CONCATENATE("          ", "6282", " - ", "JANITORIAL/EXTERMINATOR EXPENS")</f>
        <v xml:space="preserve">          6282 - JANITORIAL/EXTERMINATOR EXPENS</v>
      </c>
      <c r="C75" s="11"/>
      <c r="D75" s="7">
        <v>3358.12</v>
      </c>
      <c r="E75" s="2"/>
      <c r="F75" s="6">
        <f t="shared" si="44"/>
        <v>2.1571220179745052E-3</v>
      </c>
      <c r="G75" s="2"/>
      <c r="H75" s="7">
        <v>8.36</v>
      </c>
      <c r="I75" s="2"/>
      <c r="J75" s="6">
        <f t="shared" si="45"/>
        <v>3.6185364811888258E-5</v>
      </c>
      <c r="K75" s="2"/>
      <c r="L75" s="7">
        <f t="shared" si="46"/>
        <v>3349.7599999999998</v>
      </c>
      <c r="M75" s="2"/>
      <c r="N75" s="6">
        <f t="shared" si="47"/>
        <v>400.68899521531102</v>
      </c>
      <c r="O75" s="11"/>
      <c r="P75" s="7">
        <v>6979.71</v>
      </c>
      <c r="Q75" s="2"/>
      <c r="R75" s="6">
        <f t="shared" si="48"/>
        <v>3.2692584360384117E-3</v>
      </c>
      <c r="S75" s="2"/>
      <c r="T75" s="7">
        <v>2912.98</v>
      </c>
      <c r="U75" s="2"/>
      <c r="V75" s="6">
        <f t="shared" si="49"/>
        <v>9.5231998903631231E-3</v>
      </c>
      <c r="W75" s="2"/>
      <c r="X75" s="7">
        <f t="shared" si="50"/>
        <v>4066.73</v>
      </c>
      <c r="Y75" s="2"/>
      <c r="Z75" s="6">
        <f t="shared" si="51"/>
        <v>1.3960720636598947</v>
      </c>
    </row>
    <row r="76" spans="1:26" s="24" customFormat="1" hidden="1" outlineLevel="2" x14ac:dyDescent="0.25">
      <c r="A76" s="28"/>
      <c r="B76" s="11" t="str">
        <f>CONCATENATE("          ", "6284", " - ", "TRASH REMOVAL EXPENSE")</f>
        <v xml:space="preserve">          6284 - TRASH REMOVAL EXPENSE</v>
      </c>
      <c r="C76" s="11"/>
      <c r="D76" s="7"/>
      <c r="E76" s="2"/>
      <c r="F76" s="6">
        <f t="shared" si="44"/>
        <v>0</v>
      </c>
      <c r="G76" s="2"/>
      <c r="H76" s="7">
        <v>761</v>
      </c>
      <c r="I76" s="2"/>
      <c r="J76" s="6">
        <f t="shared" si="45"/>
        <v>3.2939070121826516E-3</v>
      </c>
      <c r="K76" s="2"/>
      <c r="L76" s="7">
        <f t="shared" si="46"/>
        <v>-761</v>
      </c>
      <c r="M76" s="2"/>
      <c r="N76" s="6">
        <f t="shared" si="47"/>
        <v>-1</v>
      </c>
      <c r="O76" s="11"/>
      <c r="P76" s="7"/>
      <c r="Q76" s="2"/>
      <c r="R76" s="6">
        <f t="shared" si="48"/>
        <v>0</v>
      </c>
      <c r="S76" s="2"/>
      <c r="T76" s="7">
        <v>2761</v>
      </c>
      <c r="U76" s="2"/>
      <c r="V76" s="6">
        <f t="shared" si="49"/>
        <v>9.0263424044423855E-3</v>
      </c>
      <c r="W76" s="2"/>
      <c r="X76" s="7">
        <f t="shared" si="50"/>
        <v>-2761</v>
      </c>
      <c r="Y76" s="2"/>
      <c r="Z76" s="6">
        <f t="shared" si="51"/>
        <v>-1</v>
      </c>
    </row>
    <row r="77" spans="1:26" s="24" customFormat="1" hidden="1" outlineLevel="2" x14ac:dyDescent="0.25">
      <c r="A77" s="28"/>
      <c r="B77" s="11" t="str">
        <f>CONCATENATE("          ", "6285", " - ", "JANITORIAL SERVICES")</f>
        <v xml:space="preserve">          6285 - JANITORIAL SERVICES</v>
      </c>
      <c r="C77" s="11"/>
      <c r="D77" s="7">
        <v>16755.18</v>
      </c>
      <c r="E77" s="2"/>
      <c r="F77" s="6">
        <f t="shared" si="44"/>
        <v>1.0762857698094789E-2</v>
      </c>
      <c r="G77" s="2"/>
      <c r="H77" s="7">
        <v>15033.73</v>
      </c>
      <c r="I77" s="2"/>
      <c r="J77" s="6">
        <f t="shared" si="45"/>
        <v>6.5071890494429296E-2</v>
      </c>
      <c r="K77" s="2"/>
      <c r="L77" s="7">
        <f t="shared" si="46"/>
        <v>1721.4500000000007</v>
      </c>
      <c r="M77" s="2"/>
      <c r="N77" s="6">
        <f t="shared" si="47"/>
        <v>0.11450584785013439</v>
      </c>
      <c r="O77" s="11"/>
      <c r="P77" s="7">
        <v>57034.23</v>
      </c>
      <c r="Q77" s="2"/>
      <c r="R77" s="6">
        <f t="shared" si="48"/>
        <v>2.6714525040503839E-2</v>
      </c>
      <c r="S77" s="2"/>
      <c r="T77" s="7">
        <v>30660.46</v>
      </c>
      <c r="U77" s="2"/>
      <c r="V77" s="6">
        <f t="shared" si="49"/>
        <v>0.10023607759424469</v>
      </c>
      <c r="W77" s="2"/>
      <c r="X77" s="7">
        <f t="shared" si="50"/>
        <v>26373.770000000004</v>
      </c>
      <c r="Y77" s="2"/>
      <c r="Z77" s="6">
        <f t="shared" si="51"/>
        <v>0.86018833376929127</v>
      </c>
    </row>
    <row r="78" spans="1:26" s="24" customFormat="1" hidden="1" outlineLevel="2" x14ac:dyDescent="0.25">
      <c r="A78" s="28"/>
      <c r="B78" s="11" t="str">
        <f>CONCATENATE("          ", "6286", " - ", "LAUNDRY EXPENSE")</f>
        <v xml:space="preserve">          6286 - LAUNDRY EXPENSE</v>
      </c>
      <c r="C78" s="11"/>
      <c r="D78" s="7">
        <v>1377.57</v>
      </c>
      <c r="E78" s="2"/>
      <c r="F78" s="6">
        <f t="shared" si="44"/>
        <v>8.8489588766963031E-4</v>
      </c>
      <c r="G78" s="2"/>
      <c r="H78" s="7">
        <v>1509.94</v>
      </c>
      <c r="I78" s="2"/>
      <c r="J78" s="6">
        <f t="shared" si="45"/>
        <v>6.5356136057491106E-3</v>
      </c>
      <c r="K78" s="2"/>
      <c r="L78" s="7">
        <f t="shared" si="46"/>
        <v>-132.37000000000012</v>
      </c>
      <c r="M78" s="2"/>
      <c r="N78" s="6">
        <f t="shared" si="47"/>
        <v>-8.7665735062320435E-2</v>
      </c>
      <c r="O78" s="11"/>
      <c r="P78" s="7">
        <v>4963.17</v>
      </c>
      <c r="Q78" s="2"/>
      <c r="R78" s="6">
        <f t="shared" si="48"/>
        <v>2.324722000196679E-3</v>
      </c>
      <c r="S78" s="2"/>
      <c r="T78" s="7">
        <v>5959.87</v>
      </c>
      <c r="U78" s="2"/>
      <c r="V78" s="6">
        <f t="shared" si="49"/>
        <v>1.9484182291185818E-2</v>
      </c>
      <c r="W78" s="2"/>
      <c r="X78" s="7">
        <f t="shared" si="50"/>
        <v>-996.69999999999982</v>
      </c>
      <c r="Y78" s="2"/>
      <c r="Z78" s="6">
        <f t="shared" si="51"/>
        <v>-0.16723519137162385</v>
      </c>
    </row>
    <row r="79" spans="1:26" s="27" customFormat="1" outlineLevel="1" collapsed="1" x14ac:dyDescent="0.25">
      <c r="A79" s="29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1">
        <f>SUM(OSRRefD22_17x_0)</f>
        <v>408.93</v>
      </c>
      <c r="E79" s="1"/>
      <c r="F79" s="5">
        <f t="shared" ref="F79:F89" si="52">IF(D$12=0,0,D79/D$12)</f>
        <v>2.6268028147008281E-4</v>
      </c>
      <c r="G79" s="1"/>
      <c r="H79" s="1">
        <f>SUM(OSRRefH22_17x_0)</f>
        <v>131.34</v>
      </c>
      <c r="I79" s="1"/>
      <c r="J79" s="5">
        <f t="shared" ref="J79:J89" si="53">IF(H$12=0,0,H79/H$12)</f>
        <v>5.6849112612361303E-4</v>
      </c>
      <c r="K79" s="1"/>
      <c r="L79" s="1">
        <f t="shared" ref="L79:L89" si="54">+D79-H79</f>
        <v>277.59000000000003</v>
      </c>
      <c r="M79" s="1"/>
      <c r="N79" s="5">
        <f t="shared" ref="N79:N89" si="55">IF(H79=0,0,L79/H79)</f>
        <v>2.1135221562357245</v>
      </c>
      <c r="O79" s="14"/>
      <c r="P79" s="1">
        <f>SUM(OSRRefP22_17x_0)</f>
        <v>1133.19</v>
      </c>
      <c r="Q79" s="1"/>
      <c r="R79" s="5">
        <f t="shared" ref="R79:R89" si="56">IF(P$12=0,0,P79/P$12)</f>
        <v>5.3078007068121285E-4</v>
      </c>
      <c r="S79" s="1"/>
      <c r="T79" s="1">
        <f>SUM(OSRRefT22_17x_0)</f>
        <v>140.66</v>
      </c>
      <c r="U79" s="1"/>
      <c r="V79" s="5">
        <f t="shared" ref="V79:V89" si="57">IF(T$12=0,0,T79/T$12)</f>
        <v>4.5984980898546398E-4</v>
      </c>
      <c r="W79" s="1"/>
      <c r="X79" s="1">
        <f t="shared" ref="X79:X89" si="58">+P79-T79</f>
        <v>992.53000000000009</v>
      </c>
      <c r="Y79" s="1"/>
      <c r="Z79" s="5">
        <f t="shared" ref="Z79:Z89" si="59">IF(T79=0,0,X79/T79)</f>
        <v>7.0562348926489413</v>
      </c>
    </row>
    <row r="80" spans="1:26" s="24" customFormat="1" hidden="1" outlineLevel="2" x14ac:dyDescent="0.25">
      <c r="A80" s="28"/>
      <c r="B80" s="11" t="str">
        <f>CONCATENATE("          ", "6275", " - ", "SUBSCRIPTIONS")</f>
        <v xml:space="preserve">          6275 - SUBSCRIPTIONS</v>
      </c>
      <c r="C80" s="11"/>
      <c r="D80" s="7">
        <v>408.93</v>
      </c>
      <c r="E80" s="2"/>
      <c r="F80" s="6">
        <f t="shared" si="52"/>
        <v>2.6268028147008281E-4</v>
      </c>
      <c r="G80" s="2"/>
      <c r="H80" s="7">
        <v>131.34</v>
      </c>
      <c r="I80" s="2"/>
      <c r="J80" s="6">
        <f t="shared" si="53"/>
        <v>5.6849112612361303E-4</v>
      </c>
      <c r="K80" s="2"/>
      <c r="L80" s="7">
        <f t="shared" si="54"/>
        <v>277.59000000000003</v>
      </c>
      <c r="M80" s="2"/>
      <c r="N80" s="6">
        <f t="shared" si="55"/>
        <v>2.1135221562357245</v>
      </c>
      <c r="O80" s="11"/>
      <c r="P80" s="7">
        <v>1133.19</v>
      </c>
      <c r="Q80" s="2"/>
      <c r="R80" s="6">
        <f t="shared" si="56"/>
        <v>5.3078007068121285E-4</v>
      </c>
      <c r="S80" s="2"/>
      <c r="T80" s="7">
        <v>140.66</v>
      </c>
      <c r="U80" s="2"/>
      <c r="V80" s="6">
        <f t="shared" si="57"/>
        <v>4.5984980898546398E-4</v>
      </c>
      <c r="W80" s="2"/>
      <c r="X80" s="7">
        <f t="shared" si="58"/>
        <v>992.53000000000009</v>
      </c>
      <c r="Y80" s="2"/>
      <c r="Z80" s="6">
        <f t="shared" si="59"/>
        <v>7.0562348926489413</v>
      </c>
    </row>
    <row r="81" spans="1:26" s="27" customFormat="1" outlineLevel="1" collapsed="1" x14ac:dyDescent="0.25">
      <c r="A81" s="29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SUM(OSRRefD22_18x_0)</f>
        <v>51611.32</v>
      </c>
      <c r="E81" s="1"/>
      <c r="F81" s="5">
        <f t="shared" si="52"/>
        <v>3.3153048357035468E-2</v>
      </c>
      <c r="G81" s="1"/>
      <c r="H81" s="1">
        <f>SUM(OSRRefH22_18x_0)</f>
        <v>9165.2500000000018</v>
      </c>
      <c r="I81" s="1"/>
      <c r="J81" s="5">
        <f t="shared" si="53"/>
        <v>3.9670803210784568E-2</v>
      </c>
      <c r="K81" s="1"/>
      <c r="L81" s="1">
        <f t="shared" si="54"/>
        <v>42446.07</v>
      </c>
      <c r="M81" s="1"/>
      <c r="N81" s="5">
        <f t="shared" si="55"/>
        <v>4.6311960939417904</v>
      </c>
      <c r="O81" s="14"/>
      <c r="P81" s="1">
        <f>SUM(OSRRefP22_18x_0)</f>
        <v>84583.15</v>
      </c>
      <c r="Q81" s="1"/>
      <c r="R81" s="5">
        <f t="shared" si="56"/>
        <v>3.9618290256214418E-2</v>
      </c>
      <c r="S81" s="1"/>
      <c r="T81" s="1">
        <f>SUM(OSRRefT22_18x_0)</f>
        <v>6998.779999999997</v>
      </c>
      <c r="U81" s="1"/>
      <c r="V81" s="5">
        <f t="shared" si="57"/>
        <v>2.2880617418820449E-2</v>
      </c>
      <c r="W81" s="1"/>
      <c r="X81" s="1">
        <f t="shared" si="58"/>
        <v>77584.37</v>
      </c>
      <c r="Y81" s="1"/>
      <c r="Z81" s="5">
        <f t="shared" si="59"/>
        <v>11.085413457774074</v>
      </c>
    </row>
    <row r="82" spans="1:26" s="24" customFormat="1" hidden="1" outlineLevel="2" x14ac:dyDescent="0.25">
      <c r="A82" s="28"/>
      <c r="B82" s="11" t="str">
        <f>CONCATENATE("          ", "6234", " - ", "EXPENDABLE SUPPLIES &amp; EQUIPMEN")</f>
        <v xml:space="preserve">          6234 - EXPENDABLE SUPPLIES &amp; EQUIPMEN</v>
      </c>
      <c r="C82" s="11"/>
      <c r="D82" s="7">
        <v>21.98</v>
      </c>
      <c r="E82" s="2"/>
      <c r="F82" s="6">
        <f t="shared" si="52"/>
        <v>1.4119073158517154E-5</v>
      </c>
      <c r="G82" s="2"/>
      <c r="H82" s="7"/>
      <c r="I82" s="2"/>
      <c r="J82" s="6">
        <f t="shared" si="53"/>
        <v>0</v>
      </c>
      <c r="K82" s="2"/>
      <c r="L82" s="7">
        <f t="shared" si="54"/>
        <v>21.98</v>
      </c>
      <c r="M82" s="2"/>
      <c r="N82" s="6">
        <f t="shared" si="55"/>
        <v>0</v>
      </c>
      <c r="O82" s="11"/>
      <c r="P82" s="7">
        <v>21.98</v>
      </c>
      <c r="Q82" s="2"/>
      <c r="R82" s="6">
        <f t="shared" si="56"/>
        <v>1.0295313189820822E-5</v>
      </c>
      <c r="S82" s="2"/>
      <c r="T82" s="7">
        <v>255.78</v>
      </c>
      <c r="U82" s="2"/>
      <c r="V82" s="6">
        <f t="shared" si="57"/>
        <v>8.3620349880777752E-4</v>
      </c>
      <c r="W82" s="2"/>
      <c r="X82" s="7">
        <f t="shared" si="58"/>
        <v>-233.8</v>
      </c>
      <c r="Y82" s="2"/>
      <c r="Z82" s="6">
        <f t="shared" si="59"/>
        <v>-0.91406677613574172</v>
      </c>
    </row>
    <row r="83" spans="1:26" s="24" customFormat="1" hidden="1" outlineLevel="2" x14ac:dyDescent="0.25">
      <c r="A83" s="28"/>
      <c r="B83" s="11" t="str">
        <f>CONCATENATE("          ", "6235", " - ", "COVID-19 EXPENSES")</f>
        <v xml:space="preserve">          6235 - COVID-19 EXPENSES</v>
      </c>
      <c r="C83" s="11"/>
      <c r="D83" s="7">
        <v>193.5</v>
      </c>
      <c r="E83" s="2"/>
      <c r="F83" s="6">
        <f t="shared" si="52"/>
        <v>1.2429666315619061E-4</v>
      </c>
      <c r="G83" s="2"/>
      <c r="H83" s="7">
        <v>4045.26</v>
      </c>
      <c r="I83" s="2"/>
      <c r="J83" s="6">
        <f t="shared" si="53"/>
        <v>1.750947474389224E-2</v>
      </c>
      <c r="K83" s="2"/>
      <c r="L83" s="7">
        <f t="shared" si="54"/>
        <v>-3851.76</v>
      </c>
      <c r="M83" s="2"/>
      <c r="N83" s="6">
        <f t="shared" si="55"/>
        <v>-0.95216623900565112</v>
      </c>
      <c r="O83" s="11"/>
      <c r="P83" s="7">
        <v>193.5</v>
      </c>
      <c r="Q83" s="2"/>
      <c r="R83" s="6">
        <f t="shared" si="56"/>
        <v>9.0634354059614607E-5</v>
      </c>
      <c r="S83" s="2"/>
      <c r="T83" s="7">
        <v>18540.96</v>
      </c>
      <c r="U83" s="2"/>
      <c r="V83" s="6">
        <f t="shared" si="57"/>
        <v>6.0614651744683119E-2</v>
      </c>
      <c r="W83" s="2"/>
      <c r="X83" s="7">
        <f t="shared" si="58"/>
        <v>-18347.46</v>
      </c>
      <c r="Y83" s="2"/>
      <c r="Z83" s="6">
        <f t="shared" si="59"/>
        <v>-0.98956364718978951</v>
      </c>
    </row>
    <row r="84" spans="1:26" s="24" customFormat="1" hidden="1" outlineLevel="2" x14ac:dyDescent="0.25">
      <c r="A84" s="28"/>
      <c r="B84" s="11" t="str">
        <f>CONCATENATE("          ", "6237", " - ", "JANITORIAL SUPPLIES")</f>
        <v xml:space="preserve">          6237 - JANITORIAL SUPPLIES</v>
      </c>
      <c r="C84" s="11"/>
      <c r="D84" s="7">
        <v>13499.58</v>
      </c>
      <c r="E84" s="2"/>
      <c r="F84" s="6">
        <f t="shared" si="52"/>
        <v>8.6715904289924924E-3</v>
      </c>
      <c r="G84" s="2"/>
      <c r="H84" s="7">
        <v>3488.76</v>
      </c>
      <c r="I84" s="2"/>
      <c r="J84" s="6">
        <f t="shared" si="53"/>
        <v>1.5100724083866424E-2</v>
      </c>
      <c r="K84" s="2"/>
      <c r="L84" s="7">
        <f t="shared" si="54"/>
        <v>10010.82</v>
      </c>
      <c r="M84" s="2"/>
      <c r="N84" s="6">
        <f t="shared" si="55"/>
        <v>2.8694493172359232</v>
      </c>
      <c r="O84" s="11"/>
      <c r="P84" s="7">
        <v>21679.07</v>
      </c>
      <c r="Q84" s="2"/>
      <c r="R84" s="6">
        <f t="shared" si="56"/>
        <v>1.0154359204460821E-2</v>
      </c>
      <c r="S84" s="2"/>
      <c r="T84" s="7">
        <v>6093.71</v>
      </c>
      <c r="U84" s="2"/>
      <c r="V84" s="6">
        <f t="shared" si="57"/>
        <v>1.9921735955586606E-2</v>
      </c>
      <c r="W84" s="2"/>
      <c r="X84" s="7">
        <f t="shared" si="58"/>
        <v>15585.36</v>
      </c>
      <c r="Y84" s="2"/>
      <c r="Z84" s="6">
        <f t="shared" si="59"/>
        <v>2.5576143269042997</v>
      </c>
    </row>
    <row r="85" spans="1:26" s="24" customFormat="1" hidden="1" outlineLevel="2" x14ac:dyDescent="0.25">
      <c r="A85" s="28"/>
      <c r="B85" s="11" t="str">
        <f>CONCATENATE("          ", "6239", " - ", "KITCHEN SUPPLIES")</f>
        <v xml:space="preserve">          6239 - KITCHEN SUPPLIES</v>
      </c>
      <c r="C85" s="11"/>
      <c r="D85" s="7">
        <v>11018.05</v>
      </c>
      <c r="E85" s="2"/>
      <c r="F85" s="6">
        <f t="shared" si="52"/>
        <v>7.0775547777161022E-3</v>
      </c>
      <c r="G85" s="2"/>
      <c r="H85" s="7">
        <v>553.01</v>
      </c>
      <c r="I85" s="2"/>
      <c r="J85" s="6">
        <f t="shared" si="53"/>
        <v>2.3936445687347285E-3</v>
      </c>
      <c r="K85" s="2"/>
      <c r="L85" s="7">
        <f t="shared" si="54"/>
        <v>10465.039999999999</v>
      </c>
      <c r="M85" s="2"/>
      <c r="N85" s="6">
        <f t="shared" si="55"/>
        <v>18.923780763458165</v>
      </c>
      <c r="O85" s="11"/>
      <c r="P85" s="7">
        <v>14119.88</v>
      </c>
      <c r="Q85" s="2"/>
      <c r="R85" s="6">
        <f t="shared" si="56"/>
        <v>6.6136754687300828E-3</v>
      </c>
      <c r="S85" s="2"/>
      <c r="T85" s="7">
        <v>2927.32</v>
      </c>
      <c r="U85" s="2"/>
      <c r="V85" s="6">
        <f t="shared" si="57"/>
        <v>9.5700806401203507E-3</v>
      </c>
      <c r="W85" s="2"/>
      <c r="X85" s="7">
        <f t="shared" si="58"/>
        <v>11192.56</v>
      </c>
      <c r="Y85" s="2"/>
      <c r="Z85" s="6">
        <f t="shared" si="59"/>
        <v>3.8234835959170841</v>
      </c>
    </row>
    <row r="86" spans="1:26" s="24" customFormat="1" hidden="1" outlineLevel="2" x14ac:dyDescent="0.25">
      <c r="A86" s="28"/>
      <c r="B86" s="11" t="str">
        <f>CONCATENATE("          ", "6241", " - ", "OFFICE EXPENSE")</f>
        <v xml:space="preserve">          6241 - OFFICE EXPENSE</v>
      </c>
      <c r="C86" s="11"/>
      <c r="D86" s="7">
        <v>2804.71</v>
      </c>
      <c r="E86" s="2"/>
      <c r="F86" s="6">
        <f t="shared" si="52"/>
        <v>1.8016335613478002E-3</v>
      </c>
      <c r="G86" s="2"/>
      <c r="H86" s="7">
        <v>774.52</v>
      </c>
      <c r="I86" s="2"/>
      <c r="J86" s="6">
        <f t="shared" si="53"/>
        <v>3.3524268844621649E-3</v>
      </c>
      <c r="K86" s="2"/>
      <c r="L86" s="7">
        <f t="shared" si="54"/>
        <v>2030.19</v>
      </c>
      <c r="M86" s="2"/>
      <c r="N86" s="6">
        <f t="shared" si="55"/>
        <v>2.6212234674378974</v>
      </c>
      <c r="O86" s="11"/>
      <c r="P86" s="7">
        <v>8396.23</v>
      </c>
      <c r="Q86" s="2"/>
      <c r="R86" s="6">
        <f t="shared" si="56"/>
        <v>3.9327487472142529E-3</v>
      </c>
      <c r="S86" s="2"/>
      <c r="T86" s="7">
        <v>-28293.84</v>
      </c>
      <c r="U86" s="2"/>
      <c r="V86" s="6">
        <f t="shared" si="57"/>
        <v>-9.2499053885008398E-2</v>
      </c>
      <c r="W86" s="2"/>
      <c r="X86" s="7">
        <f t="shared" si="58"/>
        <v>36690.07</v>
      </c>
      <c r="Y86" s="2"/>
      <c r="Z86" s="6">
        <f t="shared" si="59"/>
        <v>-1.2967511656247437</v>
      </c>
    </row>
    <row r="87" spans="1:26" s="24" customFormat="1" hidden="1" outlineLevel="2" x14ac:dyDescent="0.25">
      <c r="A87" s="28"/>
      <c r="B87" s="11" t="str">
        <f>CONCATENATE("          ", "6243", " - ", "PAPER SUPPLIES")</f>
        <v xml:space="preserve">          6243 - PAPER SUPPLIES</v>
      </c>
      <c r="C87" s="11"/>
      <c r="D87" s="7">
        <v>23477.5</v>
      </c>
      <c r="E87" s="2"/>
      <c r="F87" s="6">
        <f t="shared" si="52"/>
        <v>1.508100728294297E-2</v>
      </c>
      <c r="G87" s="2"/>
      <c r="H87" s="7"/>
      <c r="I87" s="2"/>
      <c r="J87" s="6">
        <f t="shared" si="53"/>
        <v>0</v>
      </c>
      <c r="K87" s="2"/>
      <c r="L87" s="7">
        <f t="shared" si="54"/>
        <v>23477.5</v>
      </c>
      <c r="M87" s="2"/>
      <c r="N87" s="6">
        <f t="shared" si="55"/>
        <v>0</v>
      </c>
      <c r="O87" s="11"/>
      <c r="P87" s="7">
        <v>39376.49</v>
      </c>
      <c r="Q87" s="2"/>
      <c r="R87" s="6">
        <f t="shared" si="56"/>
        <v>1.8443735071239656E-2</v>
      </c>
      <c r="S87" s="2"/>
      <c r="T87" s="7">
        <v>3660.17</v>
      </c>
      <c r="U87" s="2"/>
      <c r="V87" s="6">
        <f t="shared" si="57"/>
        <v>1.1965935414149906E-2</v>
      </c>
      <c r="W87" s="2"/>
      <c r="X87" s="7">
        <f t="shared" si="58"/>
        <v>35716.32</v>
      </c>
      <c r="Y87" s="2"/>
      <c r="Z87" s="6">
        <f t="shared" si="59"/>
        <v>9.7581041317752995</v>
      </c>
    </row>
    <row r="88" spans="1:26" s="24" customFormat="1" hidden="1" outlineLevel="2" x14ac:dyDescent="0.25">
      <c r="A88" s="28"/>
      <c r="B88" s="11" t="str">
        <f>CONCATENATE("          ", "6247", " - ", "STORE SUPPLIES")</f>
        <v xml:space="preserve">          6247 - STORE SUPPLIES</v>
      </c>
      <c r="C88" s="11"/>
      <c r="D88" s="7">
        <v>596</v>
      </c>
      <c r="E88" s="2"/>
      <c r="F88" s="6">
        <f t="shared" si="52"/>
        <v>3.8284656972139327E-4</v>
      </c>
      <c r="G88" s="2"/>
      <c r="H88" s="7"/>
      <c r="I88" s="2"/>
      <c r="J88" s="6">
        <f t="shared" si="53"/>
        <v>0</v>
      </c>
      <c r="K88" s="2"/>
      <c r="L88" s="7">
        <f t="shared" si="54"/>
        <v>596</v>
      </c>
      <c r="M88" s="2"/>
      <c r="N88" s="6">
        <f t="shared" si="55"/>
        <v>0</v>
      </c>
      <c r="O88" s="11"/>
      <c r="P88" s="7">
        <v>796</v>
      </c>
      <c r="Q88" s="2"/>
      <c r="R88" s="6">
        <f t="shared" si="56"/>
        <v>3.7284209732017169E-4</v>
      </c>
      <c r="S88" s="2"/>
      <c r="T88" s="7"/>
      <c r="U88" s="2"/>
      <c r="V88" s="6">
        <f t="shared" si="57"/>
        <v>0</v>
      </c>
      <c r="W88" s="2"/>
      <c r="X88" s="7">
        <f t="shared" si="58"/>
        <v>796</v>
      </c>
      <c r="Y88" s="2"/>
      <c r="Z88" s="6">
        <f t="shared" si="59"/>
        <v>0</v>
      </c>
    </row>
    <row r="89" spans="1:26" s="24" customFormat="1" hidden="1" outlineLevel="2" x14ac:dyDescent="0.25">
      <c r="A89" s="28"/>
      <c r="B89" s="11" t="str">
        <f>CONCATENATE("          ", "6248", " - ", "UNIFORMS")</f>
        <v xml:space="preserve">          6248 - UNIFORMS</v>
      </c>
      <c r="C89" s="11"/>
      <c r="D89" s="7"/>
      <c r="E89" s="2"/>
      <c r="F89" s="6">
        <f t="shared" si="52"/>
        <v>0</v>
      </c>
      <c r="G89" s="2"/>
      <c r="H89" s="7">
        <v>303.7</v>
      </c>
      <c r="I89" s="2"/>
      <c r="J89" s="6">
        <f t="shared" si="53"/>
        <v>1.3145329298290031E-3</v>
      </c>
      <c r="K89" s="2"/>
      <c r="L89" s="7">
        <f t="shared" si="54"/>
        <v>-303.7</v>
      </c>
      <c r="M89" s="2"/>
      <c r="N89" s="6">
        <f t="shared" si="55"/>
        <v>-1</v>
      </c>
      <c r="O89" s="11"/>
      <c r="P89" s="7"/>
      <c r="Q89" s="2"/>
      <c r="R89" s="6">
        <f t="shared" si="56"/>
        <v>0</v>
      </c>
      <c r="S89" s="2"/>
      <c r="T89" s="7">
        <v>3814.68</v>
      </c>
      <c r="U89" s="2"/>
      <c r="V89" s="6">
        <f t="shared" si="57"/>
        <v>1.2471064050481087E-2</v>
      </c>
      <c r="W89" s="2"/>
      <c r="X89" s="7">
        <f t="shared" si="58"/>
        <v>-3814.68</v>
      </c>
      <c r="Y89" s="2"/>
      <c r="Z89" s="6">
        <f t="shared" si="59"/>
        <v>-1</v>
      </c>
    </row>
    <row r="90" spans="1:26" s="27" customFormat="1" outlineLevel="1" collapsed="1" x14ac:dyDescent="0.25">
      <c r="A90" s="29"/>
      <c r="B90" s="14" t="str">
        <f>CONCATENATE("     ","Telephone/Data Lines                              ")</f>
        <v xml:space="preserve">     Telephone/Data Lines                              </v>
      </c>
      <c r="C90" s="14"/>
      <c r="D90" s="1">
        <f>SUM(OSRRefD22_19x_0)</f>
        <v>1508.13</v>
      </c>
      <c r="E90" s="1"/>
      <c r="F90" s="5">
        <f t="shared" ref="F90:F96" si="60">IF(D$12=0,0,D90/D$12)</f>
        <v>9.6876241139920276E-4</v>
      </c>
      <c r="G90" s="1"/>
      <c r="H90" s="1">
        <f>SUM(OSRRefH22_19x_0)</f>
        <v>1613.63</v>
      </c>
      <c r="I90" s="1"/>
      <c r="J90" s="5">
        <f t="shared" ref="J90:J96" si="61">IF(H$12=0,0,H90/H$12)</f>
        <v>6.984424667632448E-3</v>
      </c>
      <c r="K90" s="1"/>
      <c r="L90" s="1">
        <f t="shared" ref="L90:L96" si="62">+D90-H90</f>
        <v>-105.5</v>
      </c>
      <c r="M90" s="1"/>
      <c r="N90" s="5">
        <f t="shared" ref="N90:N96" si="63">IF(H90=0,0,L90/H90)</f>
        <v>-6.5380539528888282E-2</v>
      </c>
      <c r="O90" s="14"/>
      <c r="P90" s="1">
        <f>SUM(OSRRefP22_19x_0)</f>
        <v>3875.63</v>
      </c>
      <c r="Q90" s="1"/>
      <c r="R90" s="5">
        <f t="shared" ref="R90:R96" si="64">IF(P$12=0,0,P90/P$12)</f>
        <v>1.8153241427600214E-3</v>
      </c>
      <c r="S90" s="1"/>
      <c r="T90" s="1">
        <f>SUM(OSRRefT22_19x_0)</f>
        <v>5311.41</v>
      </c>
      <c r="U90" s="1"/>
      <c r="V90" s="5">
        <f t="shared" ref="V90:V96" si="65">IF(T$12=0,0,T90/T$12)</f>
        <v>1.7364217787171073E-2</v>
      </c>
      <c r="W90" s="1"/>
      <c r="X90" s="1">
        <f t="shared" ref="X90:X96" si="66">+P90-T90</f>
        <v>-1435.7799999999997</v>
      </c>
      <c r="Y90" s="1"/>
      <c r="Z90" s="5">
        <f t="shared" ref="Z90:Z96" si="67">IF(T90=0,0,X90/T90)</f>
        <v>-0.27031993387819803</v>
      </c>
    </row>
    <row r="91" spans="1:26" s="24" customFormat="1" hidden="1" outlineLevel="2" x14ac:dyDescent="0.25">
      <c r="A91" s="28"/>
      <c r="B91" s="11" t="str">
        <f>CONCATENATE("          ", "6309", " - ", "TELEPHONE")</f>
        <v xml:space="preserve">          6309 - TELEPHONE</v>
      </c>
      <c r="C91" s="11"/>
      <c r="D91" s="7">
        <v>1508.13</v>
      </c>
      <c r="E91" s="2"/>
      <c r="F91" s="6">
        <f t="shared" si="60"/>
        <v>9.6876241139920276E-4</v>
      </c>
      <c r="G91" s="2"/>
      <c r="H91" s="7">
        <v>1613.63</v>
      </c>
      <c r="I91" s="2"/>
      <c r="J91" s="6">
        <f t="shared" si="61"/>
        <v>6.984424667632448E-3</v>
      </c>
      <c r="K91" s="2"/>
      <c r="L91" s="7">
        <f t="shared" si="62"/>
        <v>-105.5</v>
      </c>
      <c r="M91" s="2"/>
      <c r="N91" s="6">
        <f t="shared" si="63"/>
        <v>-6.5380539528888282E-2</v>
      </c>
      <c r="O91" s="11"/>
      <c r="P91" s="7">
        <v>3875.63</v>
      </c>
      <c r="Q91" s="2"/>
      <c r="R91" s="6">
        <f t="shared" si="64"/>
        <v>1.8153241427600214E-3</v>
      </c>
      <c r="S91" s="2"/>
      <c r="T91" s="7">
        <v>5311.41</v>
      </c>
      <c r="U91" s="2"/>
      <c r="V91" s="6">
        <f t="shared" si="65"/>
        <v>1.7364217787171073E-2</v>
      </c>
      <c r="W91" s="2"/>
      <c r="X91" s="7">
        <f t="shared" si="66"/>
        <v>-1435.7799999999997</v>
      </c>
      <c r="Y91" s="2"/>
      <c r="Z91" s="6">
        <f t="shared" si="67"/>
        <v>-0.27031993387819803</v>
      </c>
    </row>
    <row r="92" spans="1:26" s="27" customFormat="1" outlineLevel="1" collapsed="1" x14ac:dyDescent="0.25">
      <c r="A92" s="29"/>
      <c r="B92" s="14" t="str">
        <f>CONCATENATE("     ","Training                                          ")</f>
        <v xml:space="preserve">     Training                                          </v>
      </c>
      <c r="C92" s="14"/>
      <c r="D92" s="1">
        <f>SUM(OSRRefD22_20x_0)</f>
        <v>0</v>
      </c>
      <c r="E92" s="1"/>
      <c r="F92" s="5">
        <f t="shared" si="60"/>
        <v>0</v>
      </c>
      <c r="G92" s="1"/>
      <c r="H92" s="1">
        <f>SUM(OSRRefH22_20x_0)</f>
        <v>0</v>
      </c>
      <c r="I92" s="1"/>
      <c r="J92" s="5">
        <f t="shared" si="61"/>
        <v>0</v>
      </c>
      <c r="K92" s="1"/>
      <c r="L92" s="1">
        <f t="shared" si="62"/>
        <v>0</v>
      </c>
      <c r="M92" s="1"/>
      <c r="N92" s="5">
        <f t="shared" si="63"/>
        <v>0</v>
      </c>
      <c r="O92" s="14"/>
      <c r="P92" s="1">
        <f>SUM(OSRRefP22_20x_0)</f>
        <v>0</v>
      </c>
      <c r="Q92" s="1"/>
      <c r="R92" s="5">
        <f t="shared" si="64"/>
        <v>0</v>
      </c>
      <c r="S92" s="1"/>
      <c r="T92" s="1">
        <f>SUM(OSRRefT22_20x_0)</f>
        <v>350</v>
      </c>
      <c r="U92" s="1"/>
      <c r="V92" s="5">
        <f t="shared" si="65"/>
        <v>1.1442302939351087E-3</v>
      </c>
      <c r="W92" s="1"/>
      <c r="X92" s="1">
        <f t="shared" si="66"/>
        <v>-350</v>
      </c>
      <c r="Y92" s="1"/>
      <c r="Z92" s="5">
        <f t="shared" si="67"/>
        <v>-1</v>
      </c>
    </row>
    <row r="93" spans="1:26" s="24" customFormat="1" hidden="1" outlineLevel="2" x14ac:dyDescent="0.25">
      <c r="A93" s="28"/>
      <c r="B93" s="11" t="str">
        <f>CONCATENATE("          ", "6376", " - ", "TRAINING")</f>
        <v xml:space="preserve">          6376 - TRAINING</v>
      </c>
      <c r="C93" s="11"/>
      <c r="D93" s="7"/>
      <c r="E93" s="2"/>
      <c r="F93" s="6">
        <f t="shared" si="60"/>
        <v>0</v>
      </c>
      <c r="G93" s="2"/>
      <c r="H93" s="7"/>
      <c r="I93" s="2"/>
      <c r="J93" s="6">
        <f t="shared" si="61"/>
        <v>0</v>
      </c>
      <c r="K93" s="2"/>
      <c r="L93" s="7">
        <f t="shared" si="62"/>
        <v>0</v>
      </c>
      <c r="M93" s="2"/>
      <c r="N93" s="6">
        <f t="shared" si="63"/>
        <v>0</v>
      </c>
      <c r="O93" s="11"/>
      <c r="P93" s="7"/>
      <c r="Q93" s="2"/>
      <c r="R93" s="6">
        <f t="shared" si="64"/>
        <v>0</v>
      </c>
      <c r="S93" s="2"/>
      <c r="T93" s="7">
        <v>350</v>
      </c>
      <c r="U93" s="2"/>
      <c r="V93" s="6">
        <f t="shared" si="65"/>
        <v>1.1442302939351087E-3</v>
      </c>
      <c r="W93" s="2"/>
      <c r="X93" s="7">
        <f t="shared" si="66"/>
        <v>-350</v>
      </c>
      <c r="Y93" s="2"/>
      <c r="Z93" s="6">
        <f t="shared" si="67"/>
        <v>-1</v>
      </c>
    </row>
    <row r="94" spans="1:26" s="27" customFormat="1" outlineLevel="1" collapsed="1" x14ac:dyDescent="0.25">
      <c r="A94" s="29"/>
      <c r="B94" s="14" t="str">
        <f>CONCATENATE("     ","Travel                                            ")</f>
        <v xml:space="preserve">     Travel                                            </v>
      </c>
      <c r="C94" s="14"/>
      <c r="D94" s="1">
        <f>SUM(OSRRefD22_21x_0)</f>
        <v>104.02</v>
      </c>
      <c r="E94" s="1"/>
      <c r="F94" s="5">
        <f t="shared" si="60"/>
        <v>6.6818288896676719E-5</v>
      </c>
      <c r="G94" s="1"/>
      <c r="H94" s="1">
        <f>SUM(OSRRefH22_21x_0)</f>
        <v>152.52000000000001</v>
      </c>
      <c r="I94" s="1"/>
      <c r="J94" s="5">
        <f t="shared" si="61"/>
        <v>6.6016648817095679E-4</v>
      </c>
      <c r="K94" s="1"/>
      <c r="L94" s="1">
        <f t="shared" si="62"/>
        <v>-48.500000000000014</v>
      </c>
      <c r="M94" s="1"/>
      <c r="N94" s="5">
        <f t="shared" si="63"/>
        <v>-0.31799108313663788</v>
      </c>
      <c r="O94" s="14"/>
      <c r="P94" s="1">
        <f>SUM(OSRRefP22_21x_0)</f>
        <v>699.02</v>
      </c>
      <c r="Q94" s="1"/>
      <c r="R94" s="5">
        <f t="shared" si="64"/>
        <v>3.2741718953360104E-4</v>
      </c>
      <c r="S94" s="1"/>
      <c r="T94" s="1">
        <f>SUM(OSRRefT22_21x_0)</f>
        <v>332.21</v>
      </c>
      <c r="U94" s="1"/>
      <c r="V94" s="5">
        <f t="shared" si="65"/>
        <v>1.0860707027090927E-3</v>
      </c>
      <c r="W94" s="1"/>
      <c r="X94" s="1">
        <f t="shared" si="66"/>
        <v>366.81</v>
      </c>
      <c r="Y94" s="1"/>
      <c r="Z94" s="5">
        <f t="shared" si="67"/>
        <v>1.1041509888323651</v>
      </c>
    </row>
    <row r="95" spans="1:26" s="24" customFormat="1" hidden="1" outlineLevel="2" x14ac:dyDescent="0.25">
      <c r="A95" s="28"/>
      <c r="B95" s="11" t="str">
        <f>CONCATENATE("          ", "6292", " - ", "TRAVEL/CONFERENCE")</f>
        <v xml:space="preserve">          6292 - TRAVEL/CONFERENCE</v>
      </c>
      <c r="C95" s="11"/>
      <c r="D95" s="7"/>
      <c r="E95" s="2"/>
      <c r="F95" s="6">
        <f t="shared" si="60"/>
        <v>0</v>
      </c>
      <c r="G95" s="2"/>
      <c r="H95" s="7"/>
      <c r="I95" s="2"/>
      <c r="J95" s="6">
        <f t="shared" si="61"/>
        <v>0</v>
      </c>
      <c r="K95" s="2"/>
      <c r="L95" s="7">
        <f t="shared" si="62"/>
        <v>0</v>
      </c>
      <c r="M95" s="2"/>
      <c r="N95" s="6">
        <f t="shared" si="63"/>
        <v>0</v>
      </c>
      <c r="O95" s="11"/>
      <c r="P95" s="7">
        <v>595</v>
      </c>
      <c r="Q95" s="2"/>
      <c r="R95" s="6">
        <f t="shared" si="64"/>
        <v>2.7869478380088212E-4</v>
      </c>
      <c r="S95" s="2"/>
      <c r="T95" s="7"/>
      <c r="U95" s="2"/>
      <c r="V95" s="6">
        <f t="shared" si="65"/>
        <v>0</v>
      </c>
      <c r="W95" s="2"/>
      <c r="X95" s="7">
        <f t="shared" si="66"/>
        <v>595</v>
      </c>
      <c r="Y95" s="2"/>
      <c r="Z95" s="6">
        <f t="shared" si="67"/>
        <v>0</v>
      </c>
    </row>
    <row r="96" spans="1:26" s="24" customFormat="1" hidden="1" outlineLevel="2" x14ac:dyDescent="0.25">
      <c r="A96" s="28"/>
      <c r="B96" s="11" t="str">
        <f>CONCATENATE("          ", "6298", " - ", "VEHICLE MILEAGE")</f>
        <v xml:space="preserve">          6298 - VEHICLE MILEAGE</v>
      </c>
      <c r="C96" s="11"/>
      <c r="D96" s="7">
        <v>104.02</v>
      </c>
      <c r="E96" s="2"/>
      <c r="F96" s="6">
        <f t="shared" si="60"/>
        <v>6.6818288896676719E-5</v>
      </c>
      <c r="G96" s="2"/>
      <c r="H96" s="7">
        <v>152.52000000000001</v>
      </c>
      <c r="I96" s="2"/>
      <c r="J96" s="6">
        <f t="shared" si="61"/>
        <v>6.6016648817095679E-4</v>
      </c>
      <c r="K96" s="2"/>
      <c r="L96" s="7">
        <f t="shared" si="62"/>
        <v>-48.500000000000014</v>
      </c>
      <c r="M96" s="2"/>
      <c r="N96" s="6">
        <f t="shared" si="63"/>
        <v>-0.31799108313663788</v>
      </c>
      <c r="O96" s="11"/>
      <c r="P96" s="7">
        <v>104.02</v>
      </c>
      <c r="Q96" s="2"/>
      <c r="R96" s="6">
        <f t="shared" si="64"/>
        <v>4.8722405732718919E-5</v>
      </c>
      <c r="S96" s="2"/>
      <c r="T96" s="7">
        <v>332.21</v>
      </c>
      <c r="U96" s="2"/>
      <c r="V96" s="6">
        <f t="shared" si="65"/>
        <v>1.0860707027090927E-3</v>
      </c>
      <c r="W96" s="2"/>
      <c r="X96" s="7">
        <f t="shared" si="66"/>
        <v>-228.19</v>
      </c>
      <c r="Y96" s="2"/>
      <c r="Z96" s="6">
        <f t="shared" si="67"/>
        <v>-0.68688480178200539</v>
      </c>
    </row>
    <row r="97" spans="1:26" s="27" customFormat="1" outlineLevel="1" collapsed="1" x14ac:dyDescent="0.25">
      <c r="A97" s="29"/>
      <c r="B97" s="14" t="str">
        <f>CONCATENATE("     ","Utilities                                         ")</f>
        <v xml:space="preserve">     Utilities                                         </v>
      </c>
      <c r="C97" s="14"/>
      <c r="D97" s="1">
        <f>SUM(OSRRefD22_22x_0)</f>
        <v>8150</v>
      </c>
      <c r="E97" s="1"/>
      <c r="F97" s="5">
        <f t="shared" ref="F97:F98" si="68">IF(D$12=0,0,D97/D$12)</f>
        <v>5.2352341329351595E-3</v>
      </c>
      <c r="G97" s="1"/>
      <c r="H97" s="1">
        <f>SUM(OSRRefH22_22x_0)</f>
        <v>2300</v>
      </c>
      <c r="I97" s="1"/>
      <c r="J97" s="5">
        <f t="shared" ref="J97:J98" si="69">IF(H$12=0,0,H97/H$12)</f>
        <v>9.9553037161893548E-3</v>
      </c>
      <c r="K97" s="1"/>
      <c r="L97" s="1">
        <f t="shared" ref="L97:L98" si="70">+D97-H97</f>
        <v>5850</v>
      </c>
      <c r="M97" s="1"/>
      <c r="N97" s="5">
        <f t="shared" ref="N97:N98" si="71">IF(H97=0,0,L97/H97)</f>
        <v>2.5434782608695654</v>
      </c>
      <c r="O97" s="14"/>
      <c r="P97" s="1">
        <f>SUM(OSRRefP22_22x_0)</f>
        <v>24450</v>
      </c>
      <c r="Q97" s="1"/>
      <c r="R97" s="5">
        <f t="shared" ref="R97:R98" si="72">IF(P$12=0,0,P97/P$12)</f>
        <v>1.1452247838540449E-2</v>
      </c>
      <c r="S97" s="1"/>
      <c r="T97" s="1">
        <f>SUM(OSRRefT22_22x_0)</f>
        <v>6900</v>
      </c>
      <c r="U97" s="1"/>
      <c r="V97" s="5">
        <f t="shared" ref="V97:V98" si="73">IF(T$12=0,0,T97/T$12)</f>
        <v>2.2557682937577858E-2</v>
      </c>
      <c r="W97" s="1"/>
      <c r="X97" s="1">
        <f t="shared" ref="X97:X98" si="74">+P97-T97</f>
        <v>17550</v>
      </c>
      <c r="Y97" s="1"/>
      <c r="Z97" s="5">
        <f t="shared" ref="Z97:Z98" si="75">IF(T97=0,0,X97/T97)</f>
        <v>2.5434782608695654</v>
      </c>
    </row>
    <row r="98" spans="1:26" s="24" customFormat="1" hidden="1" outlineLevel="2" x14ac:dyDescent="0.25">
      <c r="A98" s="28"/>
      <c r="B98" s="11" t="str">
        <f>CONCATENATE("          ", "6274", " - ", "UTILITIES")</f>
        <v xml:space="preserve">          6274 - UTILITIES</v>
      </c>
      <c r="C98" s="11"/>
      <c r="D98" s="7">
        <v>8150</v>
      </c>
      <c r="E98" s="2"/>
      <c r="F98" s="6">
        <f t="shared" si="68"/>
        <v>5.2352341329351595E-3</v>
      </c>
      <c r="G98" s="2"/>
      <c r="H98" s="7">
        <v>2300</v>
      </c>
      <c r="I98" s="2"/>
      <c r="J98" s="6">
        <f t="shared" si="69"/>
        <v>9.9553037161893548E-3</v>
      </c>
      <c r="K98" s="2"/>
      <c r="L98" s="7">
        <f t="shared" si="70"/>
        <v>5850</v>
      </c>
      <c r="M98" s="2"/>
      <c r="N98" s="6">
        <f t="shared" si="71"/>
        <v>2.5434782608695654</v>
      </c>
      <c r="O98" s="11"/>
      <c r="P98" s="7">
        <v>24450</v>
      </c>
      <c r="Q98" s="2"/>
      <c r="R98" s="6">
        <f t="shared" si="72"/>
        <v>1.1452247838540449E-2</v>
      </c>
      <c r="S98" s="2"/>
      <c r="T98" s="7">
        <v>6900</v>
      </c>
      <c r="U98" s="2"/>
      <c r="V98" s="6">
        <f t="shared" si="73"/>
        <v>2.2557682937577858E-2</v>
      </c>
      <c r="W98" s="2"/>
      <c r="X98" s="7">
        <f t="shared" si="74"/>
        <v>17550</v>
      </c>
      <c r="Y98" s="2"/>
      <c r="Z98" s="6">
        <f t="shared" si="75"/>
        <v>2.5434782608695654</v>
      </c>
    </row>
    <row r="99" spans="1:26" s="54" customFormat="1" x14ac:dyDescent="0.25">
      <c r="A99" s="37"/>
      <c r="B99" s="37"/>
      <c r="C99" s="37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7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collapsed="1" x14ac:dyDescent="0.25">
      <c r="A100" s="10"/>
      <c r="B100" s="26" t="s">
        <v>292</v>
      </c>
      <c r="C100" s="10"/>
      <c r="D100" s="4">
        <f>SUM(OSRRefD25x_0)</f>
        <v>2991.7999999999993</v>
      </c>
      <c r="E100" s="4"/>
      <c r="F100" s="12">
        <f t="shared" ref="F100:F103" si="76">IF(D$12=0,0,D100/D$12)</f>
        <v>1.9218126967994365E-3</v>
      </c>
      <c r="G100" s="4"/>
      <c r="H100" s="4">
        <f>SUM(OSRRefH25x_0)</f>
        <v>805.53</v>
      </c>
      <c r="I100" s="4"/>
      <c r="J100" s="12">
        <f t="shared" ref="J100:J103" si="77">IF(H$12=0,0,H100/H$12)</f>
        <v>3.4866503489139177E-3</v>
      </c>
      <c r="K100" s="4"/>
      <c r="L100" s="4">
        <f t="shared" ref="L100:L103" si="78">+D100-H100</f>
        <v>2186.2699999999995</v>
      </c>
      <c r="M100" s="4"/>
      <c r="N100" s="12">
        <f t="shared" ref="N100:N103" si="79">IF(H100=0,0,L100/H100)</f>
        <v>2.7140764465631317</v>
      </c>
      <c r="O100" s="10"/>
      <c r="P100" s="4">
        <f>SUM(OSRRefP25x_0)</f>
        <v>17194.05</v>
      </c>
      <c r="Q100" s="4"/>
      <c r="R100" s="12">
        <f t="shared" ref="R100:R103" si="80">IF(P$12=0,0,P100/P$12)</f>
        <v>8.0536000796832888E-3</v>
      </c>
      <c r="S100" s="4"/>
      <c r="T100" s="4">
        <f>SUM(OSRRefT25x_0)</f>
        <v>3619.9199999999996</v>
      </c>
      <c r="U100" s="4"/>
      <c r="V100" s="12">
        <f t="shared" ref="V100:V103" si="81">IF(T$12=0,0,T100/T$12)</f>
        <v>1.1834348930347367E-2</v>
      </c>
      <c r="W100" s="4"/>
      <c r="X100" s="4">
        <f t="shared" ref="X100:X103" si="82">+P100-T100</f>
        <v>13574.13</v>
      </c>
      <c r="Y100" s="4"/>
      <c r="Z100" s="12">
        <f t="shared" ref="Z100:Z103" si="83">IF(T100=0,0,X100/T100)</f>
        <v>3.7498425379566402</v>
      </c>
    </row>
    <row r="101" spans="1:26" s="24" customFormat="1" hidden="1" outlineLevel="1" x14ac:dyDescent="0.25">
      <c r="A101" s="44"/>
      <c r="B101" s="11" t="str">
        <f>CONCATENATE("          ", "9150", " - ", "MISC. INCOME")</f>
        <v xml:space="preserve">          9150 - MISC. INCOME</v>
      </c>
      <c r="C101" s="11"/>
      <c r="D101" s="2">
        <f>--14735.43</f>
        <v>14735.43</v>
      </c>
      <c r="E101" s="2"/>
      <c r="F101" s="19">
        <f t="shared" si="76"/>
        <v>9.4654510551505193E-3</v>
      </c>
      <c r="G101" s="2"/>
      <c r="H101" s="2">
        <f>--180.85</f>
        <v>180.85</v>
      </c>
      <c r="I101" s="2"/>
      <c r="J101" s="19">
        <f t="shared" si="77"/>
        <v>7.8278985959688899E-4</v>
      </c>
      <c r="K101" s="2"/>
      <c r="L101" s="2">
        <f t="shared" si="78"/>
        <v>14554.58</v>
      </c>
      <c r="M101" s="2"/>
      <c r="N101" s="19">
        <f t="shared" si="79"/>
        <v>80.478739286701682</v>
      </c>
      <c r="O101" s="11"/>
      <c r="P101" s="2">
        <f>--17194.05</f>
        <v>17194.05</v>
      </c>
      <c r="Q101" s="2"/>
      <c r="R101" s="19">
        <f t="shared" si="80"/>
        <v>8.0536000796832888E-3</v>
      </c>
      <c r="S101" s="2"/>
      <c r="T101" s="2">
        <f>--804.68</f>
        <v>804.68</v>
      </c>
      <c r="U101" s="2"/>
      <c r="V101" s="19">
        <f t="shared" si="81"/>
        <v>2.630683522639152E-3</v>
      </c>
      <c r="W101" s="2"/>
      <c r="X101" s="2">
        <f t="shared" si="82"/>
        <v>16389.37</v>
      </c>
      <c r="Y101" s="2"/>
      <c r="Z101" s="19">
        <f t="shared" si="83"/>
        <v>20.36756226077447</v>
      </c>
    </row>
    <row r="102" spans="1:26" s="24" customFormat="1" hidden="1" outlineLevel="1" x14ac:dyDescent="0.25">
      <c r="A102" s="44"/>
      <c r="B102" s="11" t="str">
        <f>CONCATENATE("          ", "9160", " - ", "MISC. INCOME")</f>
        <v xml:space="preserve">          9160 - MISC. INCOME</v>
      </c>
      <c r="C102" s="11"/>
      <c r="D102" s="2">
        <f>-11238.12</f>
        <v>-11238.12</v>
      </c>
      <c r="E102" s="2"/>
      <c r="F102" s="19">
        <f t="shared" si="76"/>
        <v>-7.218918946505678E-3</v>
      </c>
      <c r="G102" s="2"/>
      <c r="H102" s="2">
        <f>0</f>
        <v>0</v>
      </c>
      <c r="I102" s="2"/>
      <c r="J102" s="19">
        <f t="shared" si="77"/>
        <v>0</v>
      </c>
      <c r="K102" s="2"/>
      <c r="L102" s="2">
        <f t="shared" si="78"/>
        <v>-11238.12</v>
      </c>
      <c r="M102" s="2"/>
      <c r="N102" s="19">
        <f t="shared" si="79"/>
        <v>0</v>
      </c>
      <c r="O102" s="11"/>
      <c r="P102" s="2">
        <f t="shared" ref="P102:P103" si="84">0</f>
        <v>0</v>
      </c>
      <c r="Q102" s="2"/>
      <c r="R102" s="19">
        <f t="shared" si="80"/>
        <v>0</v>
      </c>
      <c r="S102" s="2"/>
      <c r="T102" s="2">
        <f>--1990.06</f>
        <v>1990.06</v>
      </c>
      <c r="U102" s="2"/>
      <c r="V102" s="19">
        <f t="shared" si="81"/>
        <v>6.5059626821385788E-3</v>
      </c>
      <c r="W102" s="2"/>
      <c r="X102" s="2">
        <f t="shared" si="82"/>
        <v>-1990.06</v>
      </c>
      <c r="Y102" s="2"/>
      <c r="Z102" s="19">
        <f t="shared" si="83"/>
        <v>-1</v>
      </c>
    </row>
    <row r="103" spans="1:26" s="24" customFormat="1" hidden="1" outlineLevel="1" x14ac:dyDescent="0.25">
      <c r="A103" s="44"/>
      <c r="B103" s="11" t="str">
        <f>CONCATENATE("          ", "9165", " - ", "OTHER INCOME")</f>
        <v xml:space="preserve">          9165 - OTHER INCOME</v>
      </c>
      <c r="C103" s="11"/>
      <c r="D103" s="2">
        <f>-505.51</f>
        <v>-505.51</v>
      </c>
      <c r="E103" s="2"/>
      <c r="F103" s="19">
        <f t="shared" si="76"/>
        <v>-3.2471941184540522E-4</v>
      </c>
      <c r="G103" s="2"/>
      <c r="H103" s="2">
        <f>--624.68</f>
        <v>624.67999999999995</v>
      </c>
      <c r="I103" s="2"/>
      <c r="J103" s="19">
        <f t="shared" si="77"/>
        <v>2.7038604893170285E-3</v>
      </c>
      <c r="K103" s="2"/>
      <c r="L103" s="2">
        <f t="shared" si="78"/>
        <v>-1130.19</v>
      </c>
      <c r="M103" s="2"/>
      <c r="N103" s="19">
        <f t="shared" si="79"/>
        <v>-1.8092303259268747</v>
      </c>
      <c r="O103" s="11"/>
      <c r="P103" s="2">
        <f t="shared" si="84"/>
        <v>0</v>
      </c>
      <c r="Q103" s="2"/>
      <c r="R103" s="19">
        <f t="shared" si="80"/>
        <v>0</v>
      </c>
      <c r="S103" s="2"/>
      <c r="T103" s="2">
        <f>--825.18</f>
        <v>825.18</v>
      </c>
      <c r="U103" s="2"/>
      <c r="V103" s="19">
        <f t="shared" si="81"/>
        <v>2.6977027255696371E-3</v>
      </c>
      <c r="W103" s="2"/>
      <c r="X103" s="2">
        <f t="shared" si="82"/>
        <v>-825.18</v>
      </c>
      <c r="Y103" s="2"/>
      <c r="Z103" s="19">
        <f t="shared" si="83"/>
        <v>-1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10"/>
      <c r="B105" s="25" t="s">
        <v>276</v>
      </c>
      <c r="C105" s="25"/>
      <c r="D105" s="21">
        <f>+D23-D25+D100</f>
        <v>478205.95999999979</v>
      </c>
      <c r="E105" s="13"/>
      <c r="F105" s="22">
        <f>IF(D$12=0,0,D105/D$12)</f>
        <v>0.3071803882656472</v>
      </c>
      <c r="G105" s="13"/>
      <c r="H105" s="21">
        <f>+H23-H25+H100</f>
        <v>-173263.55000000013</v>
      </c>
      <c r="I105" s="13"/>
      <c r="J105" s="22">
        <f>IF(H$12=0,0,H105/H$12)</f>
        <v>-0.74995272312833106</v>
      </c>
      <c r="K105" s="16"/>
      <c r="L105" s="21">
        <f>+D105-H105</f>
        <v>651469.50999999989</v>
      </c>
      <c r="M105" s="16"/>
      <c r="N105" s="22">
        <f>IF(H105=0,0,L105/H105)</f>
        <v>-3.7599917005048056</v>
      </c>
      <c r="O105" s="26"/>
      <c r="P105" s="21">
        <f>+P23-P25+P100</f>
        <v>3582.4700000003904</v>
      </c>
      <c r="Q105" s="13"/>
      <c r="R105" s="22">
        <f>IF(P$12=0,0,P105/P$12)</f>
        <v>1.6780095834004285E-3</v>
      </c>
      <c r="S105" s="13"/>
      <c r="T105" s="21">
        <f>+T23-T25+T100</f>
        <v>-753631.5299999998</v>
      </c>
      <c r="U105" s="13"/>
      <c r="V105" s="22">
        <f>IF(T$12=0,0,T105/T$12)</f>
        <v>-2.4637943631161869</v>
      </c>
      <c r="W105" s="16"/>
      <c r="X105" s="21">
        <f>+P105-T105</f>
        <v>757214.00000000023</v>
      </c>
      <c r="Y105" s="16"/>
      <c r="Z105" s="22">
        <f>IF(T105=0,0,X105/T105)</f>
        <v>-1.0047536094993272</v>
      </c>
    </row>
    <row r="106" spans="1:26" x14ac:dyDescent="0.25">
      <c r="A106" s="9"/>
      <c r="B106" s="10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51"/>
      <c r="B107" s="10" t="s">
        <v>127</v>
      </c>
      <c r="C107" s="10"/>
      <c r="D107" s="4">
        <v>177853.95</v>
      </c>
      <c r="E107" s="4"/>
      <c r="F107" s="12">
        <f>IF(D$12=0,0,D107/D$12)</f>
        <v>0.11424626622298691</v>
      </c>
      <c r="G107" s="4"/>
      <c r="H107" s="4">
        <v>44028.87</v>
      </c>
      <c r="I107" s="4"/>
      <c r="J107" s="12">
        <f>IF(H$12=0,0,H107/H$12)</f>
        <v>0.19057424918722524</v>
      </c>
      <c r="K107" s="4"/>
      <c r="L107" s="4">
        <f>+D107-H107</f>
        <v>133825.08000000002</v>
      </c>
      <c r="M107" s="4"/>
      <c r="N107" s="12">
        <f>IF(H107=0,0,L107/H107)</f>
        <v>3.039484774421874</v>
      </c>
      <c r="O107" s="10"/>
      <c r="P107" s="4">
        <v>264255.02</v>
      </c>
      <c r="Q107" s="4"/>
      <c r="R107" s="12">
        <f>IF(P$12=0,0,P107/P$12)</f>
        <v>0.12377562297008031</v>
      </c>
      <c r="S107" s="4"/>
      <c r="T107" s="4">
        <v>56666.26</v>
      </c>
      <c r="U107" s="4"/>
      <c r="V107" s="12">
        <f>IF(T$12=0,0,T107/T$12)</f>
        <v>0.18525500381715229</v>
      </c>
      <c r="W107" s="4"/>
      <c r="X107" s="4">
        <f>+P107-T107</f>
        <v>207588.76</v>
      </c>
      <c r="Y107" s="4"/>
      <c r="Z107" s="12">
        <f>IF(T107=0,0,X107/T107)</f>
        <v>3.6633573487997975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5" t="s">
        <v>125</v>
      </c>
      <c r="C109" s="25"/>
      <c r="D109" s="33">
        <f>+D105-D107</f>
        <v>300352.00999999978</v>
      </c>
      <c r="E109" s="13"/>
      <c r="F109" s="35">
        <f>IF(D$12=0,0,D109/D$12)</f>
        <v>0.19293412204266028</v>
      </c>
      <c r="G109" s="13"/>
      <c r="H109" s="33">
        <f>+H105-H107</f>
        <v>-217292.42000000013</v>
      </c>
      <c r="I109" s="13"/>
      <c r="J109" s="35">
        <f>IF(H$12=0,0,H109/H$12)</f>
        <v>-0.94052697231555626</v>
      </c>
      <c r="K109" s="16"/>
      <c r="L109" s="33">
        <f>D109-H109</f>
        <v>517644.42999999993</v>
      </c>
      <c r="M109" s="16"/>
      <c r="N109" s="35">
        <f>IF(H109=0,0,L109/H109)</f>
        <v>-2.3822479863770658</v>
      </c>
      <c r="O109" s="26"/>
      <c r="P109" s="33">
        <f>+P105-P107</f>
        <v>-260672.54999999964</v>
      </c>
      <c r="Q109" s="13"/>
      <c r="R109" s="35">
        <f>IF(P$12=0,0,P109/P$12)</f>
        <v>-0.12209761338667989</v>
      </c>
      <c r="S109" s="13"/>
      <c r="T109" s="33">
        <f>+T105-T107</f>
        <v>-810297.7899999998</v>
      </c>
      <c r="U109" s="13"/>
      <c r="V109" s="35">
        <f>IF(T$12=0,0,T109/T$12)</f>
        <v>-2.6490493669333395</v>
      </c>
      <c r="W109" s="16"/>
      <c r="X109" s="33">
        <f>P109-T109</f>
        <v>549625.24000000022</v>
      </c>
      <c r="Y109" s="16"/>
      <c r="Z109" s="35">
        <f>IF(T109=0,0,X109/T109)</f>
        <v>-0.67830030734750046</v>
      </c>
    </row>
    <row r="110" spans="1:26" ht="15.75" thickTop="1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5" t="s">
        <v>293</v>
      </c>
      <c r="C112" s="25"/>
      <c r="D112" s="31">
        <f>SUM(D109:D111)</f>
        <v>300352.00999999978</v>
      </c>
      <c r="E112" s="13"/>
      <c r="F112" s="32">
        <f>IF(D$12=0,0,D112/D$12)</f>
        <v>0.19293412204266028</v>
      </c>
      <c r="G112" s="13"/>
      <c r="H112" s="31">
        <f>SUM(H109:H111)</f>
        <v>-217292.42000000013</v>
      </c>
      <c r="I112" s="13"/>
      <c r="J112" s="32">
        <f>IF(H$12=0,0,H112/H$12)</f>
        <v>-0.94052697231555626</v>
      </c>
      <c r="K112" s="16"/>
      <c r="L112" s="31">
        <f>+D112-H112</f>
        <v>517644.42999999993</v>
      </c>
      <c r="M112" s="16"/>
      <c r="N112" s="32">
        <f>IF(H112=0,0,L112/H112)</f>
        <v>-2.3822479863770658</v>
      </c>
      <c r="O112" s="26"/>
      <c r="P112" s="31">
        <f>SUM(P109:P111)</f>
        <v>-260672.54999999964</v>
      </c>
      <c r="Q112" s="13"/>
      <c r="R112" s="32">
        <f>IF(P$12=0,0,P112/P$12)</f>
        <v>-0.12209761338667989</v>
      </c>
      <c r="S112" s="13"/>
      <c r="T112" s="31">
        <f>SUM(T109:T111)</f>
        <v>-810297.7899999998</v>
      </c>
      <c r="U112" s="13"/>
      <c r="V112" s="32">
        <f>IF(T$12=0,0,T112/T$12)</f>
        <v>-2.6490493669333395</v>
      </c>
      <c r="W112" s="16"/>
      <c r="X112" s="31">
        <f>+P112-T112</f>
        <v>549625.24000000022</v>
      </c>
      <c r="Y112" s="16"/>
      <c r="Z112" s="32">
        <f>IF(T112=0,0,X112/T112)</f>
        <v>-0.67830030734750046</v>
      </c>
    </row>
    <row r="113" spans="1:24" ht="15.75" thickTop="1" x14ac:dyDescent="0.25">
      <c r="A113" s="9"/>
      <c r="C113" s="9"/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58">
        <v>44481.985628159724</v>
      </c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A115" s="9"/>
      <c r="B115" s="53" t="s">
        <v>56</v>
      </c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4" x14ac:dyDescent="0.25">
      <c r="A116" s="9"/>
      <c r="B116" s="52"/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  <row r="117" spans="1:24" x14ac:dyDescent="0.25">
      <c r="D117" s="18"/>
      <c r="E117" s="18"/>
      <c r="G117" s="18"/>
      <c r="H117" s="18"/>
      <c r="I117" s="18"/>
      <c r="J117" s="42"/>
      <c r="K117" s="18"/>
      <c r="L117" s="18"/>
      <c r="M117" s="18"/>
      <c r="P117" s="18"/>
      <c r="Q117" s="18"/>
      <c r="R117" s="42"/>
      <c r="S117" s="18"/>
      <c r="T117" s="18"/>
      <c r="U117" s="18"/>
      <c r="V117" s="42"/>
      <c r="W117" s="18"/>
      <c r="X117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</sheetPr>
  <dimension ref="A2:Z11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55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146278.29999999999</v>
      </c>
      <c r="E12" s="4"/>
      <c r="F12" s="12"/>
      <c r="G12" s="4"/>
      <c r="H12" s="4">
        <f>SUM(OSRRefH13x_0)</f>
        <v>10440.119999999999</v>
      </c>
      <c r="I12" s="4"/>
      <c r="J12" s="12"/>
      <c r="K12" s="4"/>
      <c r="L12" s="4">
        <f t="shared" ref="L12:L24" si="0">+D12-H12</f>
        <v>135838.18</v>
      </c>
      <c r="M12" s="4"/>
      <c r="N12" s="12">
        <f t="shared" ref="N12:N24" si="1">IF(H12=0,0,L12/H12)</f>
        <v>13.011170369689237</v>
      </c>
      <c r="O12" s="10"/>
      <c r="P12" s="4">
        <f>SUM(OSRRefP13x_0)</f>
        <v>224924.52000000002</v>
      </c>
      <c r="Q12" s="4"/>
      <c r="R12" s="12"/>
      <c r="S12" s="4"/>
      <c r="T12" s="4">
        <f>SUM(OSRRefT13x_0)</f>
        <v>16957.97</v>
      </c>
      <c r="U12" s="4"/>
      <c r="V12" s="12"/>
      <c r="W12" s="4"/>
      <c r="X12" s="4">
        <f t="shared" ref="X12:X24" si="2">+P12-T12</f>
        <v>207966.55000000002</v>
      </c>
      <c r="Y12" s="4"/>
      <c r="Z12" s="12">
        <f t="shared" ref="Z12:Z24" si="3">IF(T12=0,0,X12/T12)</f>
        <v>12.263646533164053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--2858.93</f>
        <v>2858.93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2858.93</v>
      </c>
      <c r="M13" s="2"/>
      <c r="N13" s="19">
        <f t="shared" si="1"/>
        <v>0</v>
      </c>
      <c r="O13" s="11"/>
      <c r="P13" s="2">
        <f>--4093.85</f>
        <v>4093.85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4093.85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ref="D14:D15" si="4">0</f>
        <v>0</v>
      </c>
      <c r="E14" s="2"/>
      <c r="F14" s="19"/>
      <c r="G14" s="2"/>
      <c r="H14" s="2">
        <f>--356.39</f>
        <v>356.39</v>
      </c>
      <c r="I14" s="2"/>
      <c r="J14" s="19"/>
      <c r="K14" s="2"/>
      <c r="L14" s="2">
        <f t="shared" si="0"/>
        <v>-356.39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--444.59</f>
        <v>444.59</v>
      </c>
      <c r="U14" s="2"/>
      <c r="V14" s="19"/>
      <c r="W14" s="2"/>
      <c r="X14" s="2">
        <f t="shared" si="2"/>
        <v>-444.59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5"/>
        <v>0</v>
      </c>
      <c r="Q15" s="2"/>
      <c r="R15" s="19"/>
      <c r="S15" s="2"/>
      <c r="T15" s="2">
        <f>0</f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--33705.87</f>
        <v>33705.870000000003</v>
      </c>
      <c r="E16" s="2"/>
      <c r="F16" s="19"/>
      <c r="G16" s="2"/>
      <c r="H16" s="2">
        <f>--4141.96</f>
        <v>4141.96</v>
      </c>
      <c r="I16" s="2"/>
      <c r="J16" s="19"/>
      <c r="K16" s="2"/>
      <c r="L16" s="2">
        <f t="shared" si="0"/>
        <v>29563.910000000003</v>
      </c>
      <c r="M16" s="2"/>
      <c r="N16" s="19">
        <f t="shared" si="1"/>
        <v>7.1376618798829545</v>
      </c>
      <c r="O16" s="11"/>
      <c r="P16" s="2">
        <f>--64976.31</f>
        <v>64976.31</v>
      </c>
      <c r="Q16" s="2"/>
      <c r="R16" s="19"/>
      <c r="S16" s="2"/>
      <c r="T16" s="2">
        <f>--6652.68</f>
        <v>6652.68</v>
      </c>
      <c r="U16" s="2"/>
      <c r="V16" s="19"/>
      <c r="W16" s="2"/>
      <c r="X16" s="2">
        <f t="shared" si="2"/>
        <v>58323.63</v>
      </c>
      <c r="Y16" s="2"/>
      <c r="Z16" s="19">
        <f t="shared" si="3"/>
        <v>8.7669375349483207</v>
      </c>
    </row>
    <row r="17" spans="1:26" s="24" customFormat="1" hidden="1" outlineLevel="1" x14ac:dyDescent="0.25">
      <c r="A17" s="44"/>
      <c r="B17" s="11" t="str">
        <f>CONCATENATE("          ", "4053", " - ", "TAXABLE SALES-FOOD")</f>
        <v xml:space="preserve">          4053 - TAXABLE SALES-FOOD</v>
      </c>
      <c r="C17" s="11"/>
      <c r="D17" s="2">
        <f>--139.09</f>
        <v>139.09</v>
      </c>
      <c r="E17" s="2"/>
      <c r="F17" s="19"/>
      <c r="G17" s="2"/>
      <c r="H17" s="2">
        <f t="shared" ref="H17:H19" si="6">0</f>
        <v>0</v>
      </c>
      <c r="I17" s="2"/>
      <c r="J17" s="19"/>
      <c r="K17" s="2"/>
      <c r="L17" s="2">
        <f t="shared" si="0"/>
        <v>139.09</v>
      </c>
      <c r="M17" s="2"/>
      <c r="N17" s="19">
        <f t="shared" si="1"/>
        <v>0</v>
      </c>
      <c r="O17" s="11"/>
      <c r="P17" s="2">
        <f>--139.09</f>
        <v>139.09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139.09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0</f>
        <v>0</v>
      </c>
      <c r="E18" s="2"/>
      <c r="F18" s="19"/>
      <c r="G18" s="2"/>
      <c r="H18" s="2">
        <f t="shared" si="6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>
        <f>--974.91</f>
        <v>974.91</v>
      </c>
      <c r="U18" s="2"/>
      <c r="V18" s="19"/>
      <c r="W18" s="2"/>
      <c r="X18" s="2">
        <f t="shared" si="2"/>
        <v>-974.91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--13245.23</f>
        <v>13245.23</v>
      </c>
      <c r="E19" s="2"/>
      <c r="F19" s="19"/>
      <c r="G19" s="2"/>
      <c r="H19" s="2">
        <f t="shared" si="6"/>
        <v>0</v>
      </c>
      <c r="I19" s="2"/>
      <c r="J19" s="19"/>
      <c r="K19" s="2"/>
      <c r="L19" s="2">
        <f t="shared" si="0"/>
        <v>13245.23</v>
      </c>
      <c r="M19" s="2"/>
      <c r="N19" s="19">
        <f t="shared" si="1"/>
        <v>0</v>
      </c>
      <c r="O19" s="11"/>
      <c r="P19" s="2">
        <f>--18545.1</f>
        <v>18545.099999999999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18545.099999999999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"4132", " - ", "NON-TAXABLE SALES-JUICE")</f>
        <v xml:space="preserve">          4132 - NON-TAXABLE SALES-JUICE</v>
      </c>
      <c r="C20" s="11"/>
      <c r="D20" s="2">
        <f t="shared" ref="D20:D22" si="7">0</f>
        <v>0</v>
      </c>
      <c r="E20" s="2"/>
      <c r="F20" s="19"/>
      <c r="G20" s="2"/>
      <c r="H20" s="2">
        <f>--1406.08</f>
        <v>1406.08</v>
      </c>
      <c r="I20" s="2"/>
      <c r="J20" s="19"/>
      <c r="K20" s="2"/>
      <c r="L20" s="2">
        <f t="shared" si="0"/>
        <v>-1406.08</v>
      </c>
      <c r="M20" s="2"/>
      <c r="N20" s="19">
        <f t="shared" si="1"/>
        <v>-1</v>
      </c>
      <c r="O20" s="11"/>
      <c r="P20" s="2">
        <f t="shared" ref="P20:P22" si="8">0</f>
        <v>0</v>
      </c>
      <c r="Q20" s="2"/>
      <c r="R20" s="19"/>
      <c r="S20" s="2"/>
      <c r="T20" s="2">
        <f>--2031.88</f>
        <v>2031.88</v>
      </c>
      <c r="U20" s="2"/>
      <c r="V20" s="19"/>
      <c r="W20" s="2"/>
      <c r="X20" s="2">
        <f t="shared" si="2"/>
        <v>-2031.88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"4134", " - ", "NON-TAXABLE SALES-SODA")</f>
        <v xml:space="preserve">          4134 - NON-TAXABLE SALES-SODA</v>
      </c>
      <c r="C21" s="11"/>
      <c r="D21" s="2">
        <f t="shared" si="7"/>
        <v>0</v>
      </c>
      <c r="E21" s="2"/>
      <c r="F21" s="19"/>
      <c r="G21" s="2"/>
      <c r="H21" s="2">
        <f t="shared" ref="H21:H22" si="9"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si="8"/>
        <v>0</v>
      </c>
      <c r="Q21" s="2"/>
      <c r="R21" s="19"/>
      <c r="S21" s="2"/>
      <c r="T21" s="2">
        <f t="shared" ref="T21:T22" si="10">0</f>
        <v>0</v>
      </c>
      <c r="U21" s="2"/>
      <c r="V21" s="19"/>
      <c r="W21" s="2"/>
      <c r="X21" s="2">
        <f t="shared" si="2"/>
        <v>0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"4137", " - ", "NON-TAXABLE SALES-WATER")</f>
        <v xml:space="preserve">          4137 - NON-TAXABLE SALES-WATER</v>
      </c>
      <c r="C22" s="11"/>
      <c r="D22" s="2">
        <f t="shared" si="7"/>
        <v>0</v>
      </c>
      <c r="E22" s="2"/>
      <c r="F22" s="19"/>
      <c r="G22" s="2"/>
      <c r="H22" s="2">
        <f t="shared" si="9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si="8"/>
        <v>0</v>
      </c>
      <c r="Q22" s="2"/>
      <c r="R22" s="19"/>
      <c r="S22" s="2"/>
      <c r="T22" s="2">
        <f t="shared" si="10"/>
        <v>0</v>
      </c>
      <c r="U22" s="2"/>
      <c r="V22" s="19"/>
      <c r="W22" s="2"/>
      <c r="X22" s="2">
        <f t="shared" si="2"/>
        <v>0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"4151", " - ", "NON-TAXABLE SALES-FOOD")</f>
        <v xml:space="preserve">          4151 - NON-TAXABLE SALES-FOOD</v>
      </c>
      <c r="C23" s="11"/>
      <c r="D23" s="2">
        <f>--96459.53</f>
        <v>96459.53</v>
      </c>
      <c r="E23" s="2"/>
      <c r="F23" s="19"/>
      <c r="G23" s="2"/>
      <c r="H23" s="2">
        <f>--4535.69</f>
        <v>4535.6899999999996</v>
      </c>
      <c r="I23" s="2"/>
      <c r="J23" s="19"/>
      <c r="K23" s="2"/>
      <c r="L23" s="2">
        <f t="shared" si="0"/>
        <v>91923.839999999997</v>
      </c>
      <c r="M23" s="2"/>
      <c r="N23" s="19">
        <f t="shared" si="1"/>
        <v>20.266781900879469</v>
      </c>
      <c r="O23" s="11"/>
      <c r="P23" s="2">
        <f>--137170.17</f>
        <v>137170.17000000001</v>
      </c>
      <c r="Q23" s="2"/>
      <c r="R23" s="19"/>
      <c r="S23" s="2"/>
      <c r="T23" s="2">
        <f>--6743.91</f>
        <v>6743.91</v>
      </c>
      <c r="U23" s="2"/>
      <c r="V23" s="19"/>
      <c r="W23" s="2"/>
      <c r="X23" s="2">
        <f t="shared" si="2"/>
        <v>130426.26000000001</v>
      </c>
      <c r="Y23" s="2"/>
      <c r="Z23" s="19">
        <f t="shared" si="3"/>
        <v>19.339857738315015</v>
      </c>
    </row>
    <row r="24" spans="1:26" s="24" customFormat="1" hidden="1" outlineLevel="1" x14ac:dyDescent="0.25">
      <c r="A24" s="44"/>
      <c r="B24" s="11" t="str">
        <f>CONCATENATE("          ", "4153", " - ", "NON-TAXABLE SALES-FOOD")</f>
        <v xml:space="preserve">          4153 - NON-TAXABLE SALES-FOOD</v>
      </c>
      <c r="C24" s="11"/>
      <c r="D24" s="2">
        <f>-130.35</f>
        <v>-130.35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-130.35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--110</f>
        <v>110</v>
      </c>
      <c r="U24" s="2"/>
      <c r="V24" s="19"/>
      <c r="W24" s="2"/>
      <c r="X24" s="2">
        <f t="shared" si="2"/>
        <v>-110</v>
      </c>
      <c r="Y24" s="2"/>
      <c r="Z24" s="19">
        <f t="shared" si="3"/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6" t="s">
        <v>256</v>
      </c>
      <c r="C26" s="10"/>
      <c r="D26" s="4">
        <f>SUM(OSRRefD16x_0)</f>
        <v>59124.75</v>
      </c>
      <c r="E26" s="4"/>
      <c r="F26" s="12">
        <f t="shared" ref="F26:F28" si="11">IF(D$12=0,0,D26/D$12)</f>
        <v>0.40419358168641556</v>
      </c>
      <c r="G26" s="4"/>
      <c r="H26" s="4">
        <f>SUM(OSRRefH16x_0)</f>
        <v>1823.61</v>
      </c>
      <c r="I26" s="4"/>
      <c r="J26" s="12">
        <f t="shared" ref="J26:J28" si="12">IF(H$12=0,0,H26/H$12)</f>
        <v>0.17467327961747567</v>
      </c>
      <c r="K26" s="4"/>
      <c r="L26" s="4">
        <f t="shared" ref="L26:L28" si="13">+D26-H26</f>
        <v>57301.14</v>
      </c>
      <c r="M26" s="4"/>
      <c r="N26" s="12">
        <f t="shared" ref="N26:N28" si="14">IF(H26=0,0,L26/H26)</f>
        <v>31.421817164854328</v>
      </c>
      <c r="O26" s="10"/>
      <c r="P26" s="4">
        <f>SUM(OSRRefP16x_0)</f>
        <v>81567.740000000005</v>
      </c>
      <c r="Q26" s="4"/>
      <c r="R26" s="12">
        <f t="shared" ref="R26:R28" si="15">IF(P$12=0,0,P26/P$12)</f>
        <v>0.36264494417949628</v>
      </c>
      <c r="S26" s="4"/>
      <c r="T26" s="4">
        <f>SUM(OSRRefT16x_0)</f>
        <v>3799.91</v>
      </c>
      <c r="U26" s="4"/>
      <c r="V26" s="12">
        <f t="shared" ref="V26:V28" si="16">IF(T$12=0,0,T26/T$12)</f>
        <v>0.22407811784075568</v>
      </c>
      <c r="W26" s="4"/>
      <c r="X26" s="4">
        <f t="shared" ref="X26:X28" si="17">+P26-T26</f>
        <v>77767.83</v>
      </c>
      <c r="Y26" s="4"/>
      <c r="Z26" s="12">
        <f t="shared" ref="Z26:Z28" si="18">IF(T26=0,0,X26/T26)</f>
        <v>20.465703135074254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47497.75</v>
      </c>
      <c r="E27" s="2"/>
      <c r="F27" s="19">
        <f t="shared" si="11"/>
        <v>0.32470810776444631</v>
      </c>
      <c r="G27" s="2"/>
      <c r="H27" s="2">
        <v>1282.55</v>
      </c>
      <c r="I27" s="2"/>
      <c r="J27" s="19">
        <f t="shared" si="12"/>
        <v>0.12284820480990641</v>
      </c>
      <c r="K27" s="2"/>
      <c r="L27" s="2">
        <f t="shared" si="13"/>
        <v>46215.199999999997</v>
      </c>
      <c r="M27" s="2"/>
      <c r="N27" s="19">
        <f t="shared" si="14"/>
        <v>36.033838836692524</v>
      </c>
      <c r="O27" s="11"/>
      <c r="P27" s="2">
        <v>107854.74</v>
      </c>
      <c r="Q27" s="2"/>
      <c r="R27" s="19">
        <f t="shared" si="15"/>
        <v>0.47951526138635303</v>
      </c>
      <c r="S27" s="2"/>
      <c r="T27" s="2">
        <v>3144.94</v>
      </c>
      <c r="U27" s="2"/>
      <c r="V27" s="19">
        <f t="shared" si="16"/>
        <v>0.18545498075536163</v>
      </c>
      <c r="W27" s="2"/>
      <c r="X27" s="2">
        <f t="shared" si="17"/>
        <v>104709.8</v>
      </c>
      <c r="Y27" s="2"/>
      <c r="Z27" s="19">
        <f t="shared" si="18"/>
        <v>33.294689246853679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11627</v>
      </c>
      <c r="E28" s="2"/>
      <c r="F28" s="19">
        <f t="shared" si="11"/>
        <v>7.9485473921969294E-2</v>
      </c>
      <c r="G28" s="2"/>
      <c r="H28" s="2">
        <v>541.05999999999995</v>
      </c>
      <c r="I28" s="2"/>
      <c r="J28" s="19">
        <f t="shared" si="12"/>
        <v>5.182507480756926E-2</v>
      </c>
      <c r="K28" s="2"/>
      <c r="L28" s="2">
        <f t="shared" si="13"/>
        <v>11085.94</v>
      </c>
      <c r="M28" s="2"/>
      <c r="N28" s="19">
        <f t="shared" si="14"/>
        <v>20.489298783868705</v>
      </c>
      <c r="O28" s="11"/>
      <c r="P28" s="2">
        <v>-26287</v>
      </c>
      <c r="Q28" s="2"/>
      <c r="R28" s="19">
        <f t="shared" si="15"/>
        <v>-0.11687031720685676</v>
      </c>
      <c r="S28" s="2"/>
      <c r="T28" s="2">
        <v>654.97</v>
      </c>
      <c r="U28" s="2"/>
      <c r="V28" s="19">
        <f t="shared" si="16"/>
        <v>3.8623137085394062E-2</v>
      </c>
      <c r="W28" s="2"/>
      <c r="X28" s="2">
        <f t="shared" si="17"/>
        <v>-26941.97</v>
      </c>
      <c r="Y28" s="2"/>
      <c r="Z28" s="19">
        <f t="shared" si="18"/>
        <v>-41.134662656304869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5" t="s">
        <v>107</v>
      </c>
      <c r="C30" s="25"/>
      <c r="D30" s="21">
        <f>D12-D26</f>
        <v>87153.549999999988</v>
      </c>
      <c r="E30" s="13"/>
      <c r="F30" s="22">
        <f>IF(D$12=0,0,D30/D$12)</f>
        <v>0.59580641831358438</v>
      </c>
      <c r="G30" s="13"/>
      <c r="H30" s="21">
        <f>H12-H26</f>
        <v>8616.5099999999984</v>
      </c>
      <c r="I30" s="13"/>
      <c r="J30" s="22">
        <f>IF(H$12=0,0,H30/H$12)</f>
        <v>0.8253267203825243</v>
      </c>
      <c r="K30" s="16"/>
      <c r="L30" s="21">
        <f>+D30-H30</f>
        <v>78537.039999999994</v>
      </c>
      <c r="M30" s="16"/>
      <c r="N30" s="22">
        <f>IF(H30=0,0,L30/H30)</f>
        <v>9.1147158188175972</v>
      </c>
      <c r="O30" s="26"/>
      <c r="P30" s="21">
        <f>P12-P26</f>
        <v>143356.78000000003</v>
      </c>
      <c r="Q30" s="13"/>
      <c r="R30" s="22">
        <f>IF(P$12=0,0,P30/P$12)</f>
        <v>0.63735505582050378</v>
      </c>
      <c r="S30" s="13"/>
      <c r="T30" s="21">
        <f>T12-T26</f>
        <v>13158.060000000001</v>
      </c>
      <c r="U30" s="13"/>
      <c r="V30" s="22">
        <f>IF(T$12=0,0,T30/T$12)</f>
        <v>0.77592188215924429</v>
      </c>
      <c r="W30" s="16"/>
      <c r="X30" s="21">
        <f>+P30-T30</f>
        <v>130198.72000000003</v>
      </c>
      <c r="Y30" s="16"/>
      <c r="Z30" s="22">
        <f>IF(T30=0,0,X30/T30)</f>
        <v>9.8949784390708064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6" t="s">
        <v>294</v>
      </c>
      <c r="C32" s="10"/>
      <c r="D32" s="20">
        <f>SUM(OSRRefD22x_0)</f>
        <v>192395.54</v>
      </c>
      <c r="E32" s="20"/>
      <c r="F32" s="30">
        <f t="shared" ref="F32:F41" si="19">IF(D$12=0,0,D32/D$12)</f>
        <v>1.3152705493569452</v>
      </c>
      <c r="G32" s="20"/>
      <c r="H32" s="20">
        <f>SUM(OSRRefH22x_0)</f>
        <v>150007.05000000002</v>
      </c>
      <c r="I32" s="20"/>
      <c r="J32" s="30">
        <f t="shared" ref="J32:J41" si="20">IF(H$12=0,0,H32/H$12)</f>
        <v>14.368326226135334</v>
      </c>
      <c r="K32" s="4"/>
      <c r="L32" s="20">
        <f t="shared" ref="L32:L41" si="21">+D32-H32</f>
        <v>42388.489999999991</v>
      </c>
      <c r="M32" s="4"/>
      <c r="N32" s="30">
        <f t="shared" ref="N32:N41" si="22">IF(H32=0,0,L32/H32)</f>
        <v>0.2825766522306784</v>
      </c>
      <c r="O32" s="10"/>
      <c r="P32" s="20">
        <f>SUM(OSRRefP22x_0)</f>
        <v>579577.04999999993</v>
      </c>
      <c r="Q32" s="20"/>
      <c r="R32" s="30">
        <f t="shared" ref="R32:R41" si="23">IF(P$12=0,0,P32/P$12)</f>
        <v>2.5767624178991242</v>
      </c>
      <c r="S32" s="20"/>
      <c r="T32" s="20">
        <f>SUM(OSRRefT22x_0)</f>
        <v>427222.50000000006</v>
      </c>
      <c r="U32" s="20"/>
      <c r="V32" s="30">
        <f t="shared" ref="V32:V41" si="24">IF(T$12=0,0,T32/T$12)</f>
        <v>25.193021334511148</v>
      </c>
      <c r="W32" s="4"/>
      <c r="X32" s="20">
        <f t="shared" ref="X32:X41" si="25">+P32-T32</f>
        <v>152354.54999999987</v>
      </c>
      <c r="Y32" s="4"/>
      <c r="Z32" s="30">
        <f t="shared" ref="Z32:Z41" si="26">IF(T32=0,0,X32/T32)</f>
        <v>0.3566164001193754</v>
      </c>
    </row>
    <row r="33" spans="1:26" s="27" customFormat="1" outlineLevel="1" collapsed="1" x14ac:dyDescent="0.25">
      <c r="A33" s="29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28818.44</v>
      </c>
      <c r="E33" s="1"/>
      <c r="F33" s="5">
        <f t="shared" si="19"/>
        <v>0.19701103991501132</v>
      </c>
      <c r="G33" s="1"/>
      <c r="H33" s="1">
        <f>SUM(OSRRefH22_0x_0)</f>
        <v>27566.019999999997</v>
      </c>
      <c r="I33" s="1"/>
      <c r="J33" s="5">
        <f t="shared" si="20"/>
        <v>2.6403930223024257</v>
      </c>
      <c r="K33" s="1"/>
      <c r="L33" s="1">
        <f t="shared" si="21"/>
        <v>1252.4200000000019</v>
      </c>
      <c r="M33" s="1"/>
      <c r="N33" s="5">
        <f t="shared" si="22"/>
        <v>4.5433472079030708E-2</v>
      </c>
      <c r="O33" s="14"/>
      <c r="P33" s="1">
        <f>SUM(OSRRefP22_0x_0)</f>
        <v>82352.800000000017</v>
      </c>
      <c r="Q33" s="1"/>
      <c r="R33" s="5">
        <f t="shared" si="23"/>
        <v>0.36613527062322959</v>
      </c>
      <c r="S33" s="1"/>
      <c r="T33" s="1">
        <f>SUM(OSRRefT22_0x_0)</f>
        <v>89794.95</v>
      </c>
      <c r="U33" s="1"/>
      <c r="V33" s="5">
        <f t="shared" si="24"/>
        <v>5.2951473554912525</v>
      </c>
      <c r="W33" s="1"/>
      <c r="X33" s="1">
        <f t="shared" si="25"/>
        <v>-7442.1499999999796</v>
      </c>
      <c r="Y33" s="1"/>
      <c r="Z33" s="5">
        <f t="shared" si="26"/>
        <v>-8.2879382415157868E-2</v>
      </c>
    </row>
    <row r="34" spans="1:26" s="24" customFormat="1" hidden="1" outlineLevel="2" x14ac:dyDescent="0.25">
      <c r="A34" s="28"/>
      <c r="B34" s="11" t="str">
        <f>CONCATENATE("          ", "6111", " - ", "F.I.C.A.")</f>
        <v xml:space="preserve">          6111 - F.I.C.A.</v>
      </c>
      <c r="C34" s="11"/>
      <c r="D34" s="7">
        <v>4467.9399999999996</v>
      </c>
      <c r="E34" s="2"/>
      <c r="F34" s="6">
        <f t="shared" si="19"/>
        <v>3.0544106678844368E-2</v>
      </c>
      <c r="G34" s="2"/>
      <c r="H34" s="7">
        <v>3178.71</v>
      </c>
      <c r="I34" s="2"/>
      <c r="J34" s="6">
        <f t="shared" si="20"/>
        <v>0.30447063826852566</v>
      </c>
      <c r="K34" s="2"/>
      <c r="L34" s="7">
        <f t="shared" si="21"/>
        <v>1289.2299999999996</v>
      </c>
      <c r="M34" s="2"/>
      <c r="N34" s="6">
        <f t="shared" si="22"/>
        <v>0.40558276785236763</v>
      </c>
      <c r="O34" s="11"/>
      <c r="P34" s="7">
        <v>12091.22</v>
      </c>
      <c r="Q34" s="2"/>
      <c r="R34" s="6">
        <f t="shared" si="23"/>
        <v>5.3756789166427912E-2</v>
      </c>
      <c r="S34" s="2"/>
      <c r="T34" s="7">
        <v>9769.8700000000008</v>
      </c>
      <c r="U34" s="2"/>
      <c r="V34" s="6">
        <f t="shared" si="24"/>
        <v>0.57612261373265783</v>
      </c>
      <c r="W34" s="2"/>
      <c r="X34" s="7">
        <f t="shared" si="25"/>
        <v>2321.3499999999985</v>
      </c>
      <c r="Y34" s="2"/>
      <c r="Z34" s="6">
        <f t="shared" si="26"/>
        <v>0.23760295684589441</v>
      </c>
    </row>
    <row r="35" spans="1:26" s="24" customFormat="1" hidden="1" outlineLevel="2" x14ac:dyDescent="0.25">
      <c r="A35" s="28"/>
      <c r="B35" s="11" t="str">
        <f>CONCATENATE("          ", "6112", " - ", "COMPENSATION INSURANCE")</f>
        <v xml:space="preserve">          6112 - COMPENSATION INSURANCE</v>
      </c>
      <c r="C35" s="11"/>
      <c r="D35" s="7">
        <v>2250.73</v>
      </c>
      <c r="E35" s="2"/>
      <c r="F35" s="6">
        <f t="shared" si="19"/>
        <v>1.5386629459051686E-2</v>
      </c>
      <c r="G35" s="2"/>
      <c r="H35" s="7">
        <v>988.18</v>
      </c>
      <c r="I35" s="2"/>
      <c r="J35" s="6">
        <f t="shared" si="20"/>
        <v>9.4652168749018217E-2</v>
      </c>
      <c r="K35" s="2"/>
      <c r="L35" s="7">
        <f t="shared" si="21"/>
        <v>1262.5500000000002</v>
      </c>
      <c r="M35" s="2"/>
      <c r="N35" s="6">
        <f t="shared" si="22"/>
        <v>1.2776518448056025</v>
      </c>
      <c r="O35" s="11"/>
      <c r="P35" s="7">
        <v>4982.1099999999997</v>
      </c>
      <c r="Q35" s="2"/>
      <c r="R35" s="6">
        <f t="shared" si="23"/>
        <v>2.2150141745328606E-2</v>
      </c>
      <c r="S35" s="2"/>
      <c r="T35" s="7">
        <v>2504.19</v>
      </c>
      <c r="U35" s="2"/>
      <c r="V35" s="6">
        <f t="shared" si="24"/>
        <v>0.14767038743434502</v>
      </c>
      <c r="W35" s="2"/>
      <c r="X35" s="7">
        <f t="shared" si="25"/>
        <v>2477.9199999999996</v>
      </c>
      <c r="Y35" s="2"/>
      <c r="Z35" s="6">
        <f t="shared" si="26"/>
        <v>0.98950958194066729</v>
      </c>
    </row>
    <row r="36" spans="1:26" s="24" customFormat="1" hidden="1" outlineLevel="2" x14ac:dyDescent="0.25">
      <c r="A36" s="28"/>
      <c r="B36" s="11" t="str">
        <f>CONCATENATE("          ", "6113", " - ", "GROUP INSURANCE")</f>
        <v xml:space="preserve">          6113 - GROUP INSURANCE</v>
      </c>
      <c r="C36" s="11"/>
      <c r="D36" s="7">
        <v>12646.1</v>
      </c>
      <c r="E36" s="2"/>
      <c r="F36" s="6">
        <f t="shared" si="19"/>
        <v>8.6452330933569785E-2</v>
      </c>
      <c r="G36" s="2"/>
      <c r="H36" s="7">
        <v>13367.12</v>
      </c>
      <c r="I36" s="2"/>
      <c r="J36" s="6">
        <f t="shared" si="20"/>
        <v>1.2803607621368338</v>
      </c>
      <c r="K36" s="2"/>
      <c r="L36" s="7">
        <f t="shared" si="21"/>
        <v>-721.02000000000044</v>
      </c>
      <c r="M36" s="2"/>
      <c r="N36" s="6">
        <f t="shared" si="22"/>
        <v>-5.3939816504976416E-2</v>
      </c>
      <c r="O36" s="11"/>
      <c r="P36" s="7">
        <v>37149.78</v>
      </c>
      <c r="Q36" s="2"/>
      <c r="R36" s="6">
        <f t="shared" si="23"/>
        <v>0.16516554086677609</v>
      </c>
      <c r="S36" s="2"/>
      <c r="T36" s="7">
        <v>44973.33</v>
      </c>
      <c r="U36" s="2"/>
      <c r="V36" s="6">
        <f t="shared" si="24"/>
        <v>2.6520467956954752</v>
      </c>
      <c r="W36" s="2"/>
      <c r="X36" s="7">
        <f t="shared" si="25"/>
        <v>-7823.5500000000029</v>
      </c>
      <c r="Y36" s="2"/>
      <c r="Z36" s="6">
        <f t="shared" si="26"/>
        <v>-0.17395976682180311</v>
      </c>
    </row>
    <row r="37" spans="1:26" s="24" customFormat="1" hidden="1" outlineLevel="2" x14ac:dyDescent="0.25">
      <c r="A37" s="28"/>
      <c r="B37" s="11" t="str">
        <f>CONCATENATE("          ", "6114", " - ", "STATE UNEMPLOYMENT INSURANCE")</f>
        <v xml:space="preserve">          6114 - STATE UNEMPLOYMENT INSURANCE</v>
      </c>
      <c r="C37" s="11"/>
      <c r="D37" s="7">
        <v>199.79</v>
      </c>
      <c r="E37" s="2"/>
      <c r="F37" s="6">
        <f t="shared" si="19"/>
        <v>1.3658211778507135E-3</v>
      </c>
      <c r="G37" s="2"/>
      <c r="H37" s="7">
        <v>114.28</v>
      </c>
      <c r="I37" s="2"/>
      <c r="J37" s="6">
        <f t="shared" si="20"/>
        <v>1.0946234334471252E-2</v>
      </c>
      <c r="K37" s="2"/>
      <c r="L37" s="7">
        <f t="shared" si="21"/>
        <v>85.509999999999991</v>
      </c>
      <c r="M37" s="2"/>
      <c r="N37" s="6">
        <f t="shared" si="22"/>
        <v>0.74824991249562467</v>
      </c>
      <c r="O37" s="11"/>
      <c r="P37" s="7">
        <v>458.17</v>
      </c>
      <c r="Q37" s="2"/>
      <c r="R37" s="6">
        <f t="shared" si="23"/>
        <v>2.0369944548508981E-3</v>
      </c>
      <c r="S37" s="2"/>
      <c r="T37" s="7">
        <v>327.75</v>
      </c>
      <c r="U37" s="2"/>
      <c r="V37" s="6">
        <f t="shared" si="24"/>
        <v>1.9327195413130226E-2</v>
      </c>
      <c r="W37" s="2"/>
      <c r="X37" s="7">
        <f t="shared" si="25"/>
        <v>130.42000000000002</v>
      </c>
      <c r="Y37" s="2"/>
      <c r="Z37" s="6">
        <f t="shared" si="26"/>
        <v>0.39792524790236466</v>
      </c>
    </row>
    <row r="38" spans="1:26" s="24" customFormat="1" hidden="1" outlineLevel="2" x14ac:dyDescent="0.25">
      <c r="A38" s="28"/>
      <c r="B38" s="11" t="str">
        <f>CONCATENATE("          ", "6115", " - ", "P.E.R.S.")</f>
        <v xml:space="preserve">          6115 - P.E.R.S.</v>
      </c>
      <c r="C38" s="11"/>
      <c r="D38" s="7">
        <v>3152.51</v>
      </c>
      <c r="E38" s="2"/>
      <c r="F38" s="6">
        <f t="shared" si="19"/>
        <v>2.1551453633245673E-2</v>
      </c>
      <c r="G38" s="2"/>
      <c r="H38" s="7">
        <v>3683.98</v>
      </c>
      <c r="I38" s="2"/>
      <c r="J38" s="6">
        <f t="shared" si="20"/>
        <v>0.35286759156025033</v>
      </c>
      <c r="K38" s="2"/>
      <c r="L38" s="7">
        <f t="shared" si="21"/>
        <v>-531.4699999999998</v>
      </c>
      <c r="M38" s="2"/>
      <c r="N38" s="6">
        <f t="shared" si="22"/>
        <v>-0.14426516973490622</v>
      </c>
      <c r="O38" s="11"/>
      <c r="P38" s="7">
        <v>9294.0499999999993</v>
      </c>
      <c r="Q38" s="2"/>
      <c r="R38" s="6">
        <f t="shared" si="23"/>
        <v>4.1320750623364669E-2</v>
      </c>
      <c r="S38" s="2"/>
      <c r="T38" s="7">
        <v>13879.09</v>
      </c>
      <c r="U38" s="2"/>
      <c r="V38" s="6">
        <f t="shared" si="24"/>
        <v>0.81844053268168293</v>
      </c>
      <c r="W38" s="2"/>
      <c r="X38" s="7">
        <f t="shared" si="25"/>
        <v>-4585.0400000000009</v>
      </c>
      <c r="Y38" s="2"/>
      <c r="Z38" s="6">
        <f t="shared" si="26"/>
        <v>-0.33035595273177137</v>
      </c>
    </row>
    <row r="39" spans="1:26" s="24" customFormat="1" hidden="1" outlineLevel="2" x14ac:dyDescent="0.25">
      <c r="A39" s="28"/>
      <c r="B39" s="11" t="str">
        <f>CONCATENATE("          ", "6118", " - ", "VACATION")</f>
        <v xml:space="preserve">          6118 - VACATION</v>
      </c>
      <c r="C39" s="11"/>
      <c r="D39" s="7">
        <v>2982.74</v>
      </c>
      <c r="E39" s="2"/>
      <c r="F39" s="6">
        <f t="shared" si="19"/>
        <v>2.0390857700697915E-2</v>
      </c>
      <c r="G39" s="2"/>
      <c r="H39" s="7">
        <v>3208.6</v>
      </c>
      <c r="I39" s="2"/>
      <c r="J39" s="6">
        <f t="shared" si="20"/>
        <v>0.30733363218047305</v>
      </c>
      <c r="K39" s="2"/>
      <c r="L39" s="7">
        <f t="shared" si="21"/>
        <v>-225.86000000000013</v>
      </c>
      <c r="M39" s="2"/>
      <c r="N39" s="6">
        <f t="shared" si="22"/>
        <v>-7.0392071308358825E-2</v>
      </c>
      <c r="O39" s="11"/>
      <c r="P39" s="7">
        <v>8911.18</v>
      </c>
      <c r="Q39" s="2"/>
      <c r="R39" s="6">
        <f t="shared" si="23"/>
        <v>3.9618535142366872E-2</v>
      </c>
      <c r="S39" s="2"/>
      <c r="T39" s="7">
        <v>9776.41</v>
      </c>
      <c r="U39" s="2"/>
      <c r="V39" s="6">
        <f t="shared" si="24"/>
        <v>0.57650827310108455</v>
      </c>
      <c r="W39" s="2"/>
      <c r="X39" s="7">
        <f t="shared" si="25"/>
        <v>-865.22999999999956</v>
      </c>
      <c r="Y39" s="2"/>
      <c r="Z39" s="6">
        <f t="shared" si="26"/>
        <v>-8.8501812014839754E-2</v>
      </c>
    </row>
    <row r="40" spans="1:26" s="24" customFormat="1" hidden="1" outlineLevel="2" x14ac:dyDescent="0.25">
      <c r="A40" s="28"/>
      <c r="B40" s="11" t="str">
        <f>CONCATENATE("          ", "6119", " - ", "SICK LEAVE")</f>
        <v xml:space="preserve">          6119 - SICK LEAVE</v>
      </c>
      <c r="C40" s="11"/>
      <c r="D40" s="7">
        <v>1922.83</v>
      </c>
      <c r="E40" s="2"/>
      <c r="F40" s="6">
        <f t="shared" si="19"/>
        <v>1.3145011939569984E-2</v>
      </c>
      <c r="G40" s="2"/>
      <c r="H40" s="7">
        <v>1945.96</v>
      </c>
      <c r="I40" s="2"/>
      <c r="J40" s="6">
        <f t="shared" si="20"/>
        <v>0.18639249357287083</v>
      </c>
      <c r="K40" s="2"/>
      <c r="L40" s="7">
        <f t="shared" si="21"/>
        <v>-23.130000000000109</v>
      </c>
      <c r="M40" s="2"/>
      <c r="N40" s="6">
        <f t="shared" si="22"/>
        <v>-1.1886164155481155E-2</v>
      </c>
      <c r="O40" s="11"/>
      <c r="P40" s="7">
        <v>5733.27</v>
      </c>
      <c r="Q40" s="2"/>
      <c r="R40" s="6">
        <f t="shared" si="23"/>
        <v>2.5489750961789313E-2</v>
      </c>
      <c r="S40" s="2"/>
      <c r="T40" s="7">
        <v>6121.11</v>
      </c>
      <c r="U40" s="2"/>
      <c r="V40" s="6">
        <f t="shared" si="24"/>
        <v>0.36095770897106194</v>
      </c>
      <c r="W40" s="2"/>
      <c r="X40" s="7">
        <f t="shared" si="25"/>
        <v>-387.83999999999924</v>
      </c>
      <c r="Y40" s="2"/>
      <c r="Z40" s="6">
        <f t="shared" si="26"/>
        <v>-6.3361057063179599E-2</v>
      </c>
    </row>
    <row r="41" spans="1:26" s="24" customFormat="1" hidden="1" outlineLevel="2" x14ac:dyDescent="0.25">
      <c r="A41" s="28"/>
      <c r="B41" s="11" t="str">
        <f>CONCATENATE("          ", "6156", " - ", "EMPLOYEE MEALS")</f>
        <v xml:space="preserve">          6156 - EMPLOYEE MEALS</v>
      </c>
      <c r="C41" s="11"/>
      <c r="D41" s="7">
        <v>1195.8</v>
      </c>
      <c r="E41" s="2"/>
      <c r="F41" s="6">
        <f t="shared" si="19"/>
        <v>8.1748283921812062E-3</v>
      </c>
      <c r="G41" s="2"/>
      <c r="H41" s="7">
        <v>1079.19</v>
      </c>
      <c r="I41" s="2"/>
      <c r="J41" s="6">
        <f t="shared" si="20"/>
        <v>0.10336950149998278</v>
      </c>
      <c r="K41" s="2"/>
      <c r="L41" s="7">
        <f t="shared" si="21"/>
        <v>116.6099999999999</v>
      </c>
      <c r="M41" s="2"/>
      <c r="N41" s="6">
        <f t="shared" si="22"/>
        <v>0.10805326216884877</v>
      </c>
      <c r="O41" s="11"/>
      <c r="P41" s="7">
        <v>3733.02</v>
      </c>
      <c r="Q41" s="2"/>
      <c r="R41" s="6">
        <f t="shared" si="23"/>
        <v>1.659676766232512E-2</v>
      </c>
      <c r="S41" s="2"/>
      <c r="T41" s="7">
        <v>2443.1999999999998</v>
      </c>
      <c r="U41" s="2"/>
      <c r="V41" s="6">
        <f t="shared" si="24"/>
        <v>0.1440738484618147</v>
      </c>
      <c r="W41" s="2"/>
      <c r="X41" s="7">
        <f t="shared" si="25"/>
        <v>1289.8200000000002</v>
      </c>
      <c r="Y41" s="2"/>
      <c r="Z41" s="6">
        <f t="shared" si="26"/>
        <v>0.5279223968565816</v>
      </c>
    </row>
    <row r="42" spans="1:26" s="27" customFormat="1" outlineLevel="1" collapsed="1" x14ac:dyDescent="0.25">
      <c r="A42" s="29"/>
      <c r="B42" s="14" t="str">
        <f>CONCATENATE("     ","*Payroll                                          ")</f>
        <v xml:space="preserve">     *Payroll                                          </v>
      </c>
      <c r="C42" s="14"/>
      <c r="D42" s="1">
        <f>SUM(OSRRefD22_1x_0)</f>
        <v>73219.69</v>
      </c>
      <c r="E42" s="1"/>
      <c r="F42" s="5">
        <f t="shared" ref="F42:F47" si="27">IF(D$12=0,0,D42/D$12)</f>
        <v>0.5005505943123485</v>
      </c>
      <c r="G42" s="1"/>
      <c r="H42" s="1">
        <f>SUM(OSRRefH22_1x_0)</f>
        <v>40840.409999999996</v>
      </c>
      <c r="I42" s="1"/>
      <c r="J42" s="5">
        <f t="shared" ref="J42:J47" si="28">IF(H$12=0,0,H42/H$12)</f>
        <v>3.9118717026241079</v>
      </c>
      <c r="K42" s="1"/>
      <c r="L42" s="1">
        <f t="shared" ref="L42:L47" si="29">+D42-H42</f>
        <v>32379.280000000006</v>
      </c>
      <c r="M42" s="1"/>
      <c r="N42" s="5">
        <f t="shared" ref="N42:N47" si="30">IF(H42=0,0,L42/H42)</f>
        <v>0.79282455783377315</v>
      </c>
      <c r="O42" s="14"/>
      <c r="P42" s="1">
        <f>SUM(OSRRefP22_1x_0)</f>
        <v>188359.01</v>
      </c>
      <c r="Q42" s="1"/>
      <c r="R42" s="5">
        <f t="shared" ref="R42:R47" si="31">IF(P$12=0,0,P42/P$12)</f>
        <v>0.83743208610604125</v>
      </c>
      <c r="S42" s="1"/>
      <c r="T42" s="1">
        <f>SUM(OSRRefT22_1x_0)</f>
        <v>129660.37</v>
      </c>
      <c r="U42" s="1"/>
      <c r="V42" s="5">
        <f t="shared" ref="V42:V47" si="32">IF(T$12=0,0,T42/T$12)</f>
        <v>7.6459841596606193</v>
      </c>
      <c r="W42" s="1"/>
      <c r="X42" s="1">
        <f t="shared" ref="X42:X47" si="33">+P42-T42</f>
        <v>58698.640000000014</v>
      </c>
      <c r="Y42" s="1"/>
      <c r="Z42" s="5">
        <f t="shared" ref="Z42:Z47" si="34">IF(T42=0,0,X42/T42)</f>
        <v>0.45271072417886837</v>
      </c>
    </row>
    <row r="43" spans="1:26" s="24" customFormat="1" hidden="1" outlineLevel="2" x14ac:dyDescent="0.25">
      <c r="A43" s="28"/>
      <c r="B43" s="11" t="str">
        <f>CONCATENATE("          ", "6001", " - ", "ADMINISTRATIVE SALARIES")</f>
        <v xml:space="preserve">          6001 - ADMINISTRATIVE SALARIES</v>
      </c>
      <c r="C43" s="11"/>
      <c r="D43" s="7">
        <v>10515.82</v>
      </c>
      <c r="E43" s="2"/>
      <c r="F43" s="6">
        <f t="shared" si="27"/>
        <v>7.1889131880805285E-2</v>
      </c>
      <c r="G43" s="2"/>
      <c r="H43" s="7">
        <v>11069.28</v>
      </c>
      <c r="I43" s="2"/>
      <c r="J43" s="6">
        <f t="shared" si="28"/>
        <v>1.0602636751301711</v>
      </c>
      <c r="K43" s="2"/>
      <c r="L43" s="7">
        <f t="shared" si="29"/>
        <v>-553.46000000000095</v>
      </c>
      <c r="M43" s="2"/>
      <c r="N43" s="6">
        <f t="shared" si="30"/>
        <v>-4.9999638639550259E-2</v>
      </c>
      <c r="O43" s="11"/>
      <c r="P43" s="7">
        <v>33207.519999999997</v>
      </c>
      <c r="Q43" s="2"/>
      <c r="R43" s="6">
        <f t="shared" si="31"/>
        <v>0.14763850557511468</v>
      </c>
      <c r="S43" s="2"/>
      <c r="T43" s="7">
        <v>33345.89</v>
      </c>
      <c r="U43" s="2"/>
      <c r="V43" s="6">
        <f t="shared" si="32"/>
        <v>1.9663845377719147</v>
      </c>
      <c r="W43" s="2"/>
      <c r="X43" s="7">
        <f t="shared" si="33"/>
        <v>-138.37000000000262</v>
      </c>
      <c r="Y43" s="2"/>
      <c r="Z43" s="6">
        <f t="shared" si="34"/>
        <v>-4.1495368694613524E-3</v>
      </c>
    </row>
    <row r="44" spans="1:26" s="24" customFormat="1" hidden="1" outlineLevel="2" x14ac:dyDescent="0.25">
      <c r="A44" s="28"/>
      <c r="B44" s="11" t="str">
        <f>CONCATENATE("          ", "6002", " - ", "STAFF SALARIES")</f>
        <v xml:space="preserve">          6002 - STAFF SALARIES</v>
      </c>
      <c r="C44" s="11"/>
      <c r="D44" s="7">
        <v>19952.88</v>
      </c>
      <c r="E44" s="2"/>
      <c r="F44" s="6">
        <f t="shared" si="27"/>
        <v>0.13640355404731941</v>
      </c>
      <c r="G44" s="2"/>
      <c r="H44" s="7">
        <v>24492.959999999999</v>
      </c>
      <c r="I44" s="2"/>
      <c r="J44" s="6">
        <f t="shared" si="28"/>
        <v>2.3460419995172472</v>
      </c>
      <c r="K44" s="2"/>
      <c r="L44" s="7">
        <f t="shared" si="29"/>
        <v>-4540.0799999999981</v>
      </c>
      <c r="M44" s="2"/>
      <c r="N44" s="6">
        <f t="shared" si="30"/>
        <v>-0.18536265114547193</v>
      </c>
      <c r="O44" s="11"/>
      <c r="P44" s="7">
        <v>64485.35</v>
      </c>
      <c r="Q44" s="2"/>
      <c r="R44" s="6">
        <f t="shared" si="31"/>
        <v>0.28669773308841556</v>
      </c>
      <c r="S44" s="2"/>
      <c r="T44" s="7">
        <v>81231.009999999995</v>
      </c>
      <c r="U44" s="2"/>
      <c r="V44" s="6">
        <f t="shared" si="32"/>
        <v>4.7901376167076597</v>
      </c>
      <c r="W44" s="2"/>
      <c r="X44" s="7">
        <f t="shared" si="33"/>
        <v>-16745.659999999996</v>
      </c>
      <c r="Y44" s="2"/>
      <c r="Z44" s="6">
        <f t="shared" si="34"/>
        <v>-0.20614861245723767</v>
      </c>
    </row>
    <row r="45" spans="1:26" s="24" customFormat="1" hidden="1" outlineLevel="2" x14ac:dyDescent="0.25">
      <c r="A45" s="28"/>
      <c r="B45" s="11" t="str">
        <f>CONCATENATE("          ", "6004", " - ", "STAFF HOURLY")</f>
        <v xml:space="preserve">          6004 - STAFF HOURLY</v>
      </c>
      <c r="C45" s="11"/>
      <c r="D45" s="7">
        <v>9010.67</v>
      </c>
      <c r="E45" s="2"/>
      <c r="F45" s="6">
        <f t="shared" si="27"/>
        <v>6.1599499037109408E-2</v>
      </c>
      <c r="G45" s="2"/>
      <c r="H45" s="7">
        <v>3115.4</v>
      </c>
      <c r="I45" s="2"/>
      <c r="J45" s="6">
        <f t="shared" si="28"/>
        <v>0.29840653172568904</v>
      </c>
      <c r="K45" s="2"/>
      <c r="L45" s="7">
        <f t="shared" si="29"/>
        <v>5895.27</v>
      </c>
      <c r="M45" s="2"/>
      <c r="N45" s="6">
        <f t="shared" si="30"/>
        <v>1.8922995441997819</v>
      </c>
      <c r="O45" s="11"/>
      <c r="P45" s="7">
        <v>24738.03</v>
      </c>
      <c r="Q45" s="2"/>
      <c r="R45" s="6">
        <f t="shared" si="31"/>
        <v>0.1099836958638391</v>
      </c>
      <c r="S45" s="2"/>
      <c r="T45" s="7">
        <v>10705.6</v>
      </c>
      <c r="U45" s="2"/>
      <c r="V45" s="6">
        <f t="shared" si="32"/>
        <v>0.63130197777210362</v>
      </c>
      <c r="W45" s="2"/>
      <c r="X45" s="7">
        <f t="shared" si="33"/>
        <v>14032.429999999998</v>
      </c>
      <c r="Y45" s="2"/>
      <c r="Z45" s="6">
        <f t="shared" si="34"/>
        <v>1.3107560529068896</v>
      </c>
    </row>
    <row r="46" spans="1:26" s="24" customFormat="1" hidden="1" outlineLevel="2" x14ac:dyDescent="0.25">
      <c r="A46" s="28"/>
      <c r="B46" s="11" t="str">
        <f>CONCATENATE("          ", "6005", " - ", "TEMPORARY WAGES-HOURLY")</f>
        <v xml:space="preserve">          6005 - TEMPORARY WAGES-HOURLY</v>
      </c>
      <c r="C46" s="11"/>
      <c r="D46" s="7">
        <v>16568.47</v>
      </c>
      <c r="E46" s="2"/>
      <c r="F46" s="6">
        <f t="shared" si="27"/>
        <v>0.11326676615738632</v>
      </c>
      <c r="G46" s="2"/>
      <c r="H46" s="7">
        <v>3050.77</v>
      </c>
      <c r="I46" s="2"/>
      <c r="J46" s="6">
        <f t="shared" si="28"/>
        <v>0.2922159898545228</v>
      </c>
      <c r="K46" s="2"/>
      <c r="L46" s="7">
        <f t="shared" si="29"/>
        <v>13517.7</v>
      </c>
      <c r="M46" s="2"/>
      <c r="N46" s="6">
        <f t="shared" si="30"/>
        <v>4.4309141626540187</v>
      </c>
      <c r="O46" s="11"/>
      <c r="P46" s="7">
        <v>30140.22</v>
      </c>
      <c r="Q46" s="2"/>
      <c r="R46" s="6">
        <f t="shared" si="31"/>
        <v>0.13400148636529266</v>
      </c>
      <c r="S46" s="2"/>
      <c r="T46" s="7">
        <v>3205.87</v>
      </c>
      <c r="U46" s="2"/>
      <c r="V46" s="6">
        <f t="shared" si="32"/>
        <v>0.18904798156854857</v>
      </c>
      <c r="W46" s="2"/>
      <c r="X46" s="7">
        <f t="shared" si="33"/>
        <v>26934.350000000002</v>
      </c>
      <c r="Y46" s="2"/>
      <c r="Z46" s="6">
        <f t="shared" si="34"/>
        <v>8.4015727400050544</v>
      </c>
    </row>
    <row r="47" spans="1:26" s="24" customFormat="1" hidden="1" outlineLevel="2" x14ac:dyDescent="0.25">
      <c r="A47" s="28"/>
      <c r="B47" s="11" t="str">
        <f>CONCATENATE("          ", "6007", " - ", "STUDENT HOURLY")</f>
        <v xml:space="preserve">          6007 - STUDENT HOURLY</v>
      </c>
      <c r="C47" s="11"/>
      <c r="D47" s="7">
        <v>17171.849999999999</v>
      </c>
      <c r="E47" s="2"/>
      <c r="F47" s="6">
        <f t="shared" si="27"/>
        <v>0.11739164318972807</v>
      </c>
      <c r="G47" s="2"/>
      <c r="H47" s="7">
        <v>-888</v>
      </c>
      <c r="I47" s="2"/>
      <c r="J47" s="6">
        <f t="shared" si="28"/>
        <v>-8.5056493603521813E-2</v>
      </c>
      <c r="K47" s="2"/>
      <c r="L47" s="7">
        <f t="shared" si="29"/>
        <v>18059.849999999999</v>
      </c>
      <c r="M47" s="2"/>
      <c r="N47" s="6">
        <f t="shared" si="30"/>
        <v>-20.337668918918919</v>
      </c>
      <c r="O47" s="11"/>
      <c r="P47" s="7">
        <v>35787.89</v>
      </c>
      <c r="Q47" s="2"/>
      <c r="R47" s="6">
        <f t="shared" si="31"/>
        <v>0.15911066521337913</v>
      </c>
      <c r="S47" s="2"/>
      <c r="T47" s="7">
        <v>1172</v>
      </c>
      <c r="U47" s="2"/>
      <c r="V47" s="6">
        <f t="shared" si="32"/>
        <v>6.9112045840392447E-2</v>
      </c>
      <c r="W47" s="2"/>
      <c r="X47" s="7">
        <f t="shared" si="33"/>
        <v>34615.89</v>
      </c>
      <c r="Y47" s="2"/>
      <c r="Z47" s="6">
        <f t="shared" si="34"/>
        <v>29.535742320819111</v>
      </c>
    </row>
    <row r="48" spans="1:26" s="27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200.77</v>
      </c>
      <c r="E48" s="1"/>
      <c r="F48" s="5">
        <f t="shared" ref="F48:F56" si="35">IF(D$12=0,0,D48/D$12)</f>
        <v>1.3725207361584052E-3</v>
      </c>
      <c r="G48" s="1"/>
      <c r="H48" s="1">
        <f>SUM(OSRRefH22_2x_0)</f>
        <v>49.61</v>
      </c>
      <c r="I48" s="1"/>
      <c r="J48" s="5">
        <f t="shared" ref="J48:J56" si="36">IF(H$12=0,0,H48/H$12)</f>
        <v>4.7518610897192759E-3</v>
      </c>
      <c r="K48" s="1"/>
      <c r="L48" s="1">
        <f t="shared" ref="L48:L56" si="37">+D48-H48</f>
        <v>151.16000000000003</v>
      </c>
      <c r="M48" s="1"/>
      <c r="N48" s="5">
        <f t="shared" ref="N48:N56" si="38">IF(H48=0,0,L48/H48)</f>
        <v>3.0469663374319698</v>
      </c>
      <c r="O48" s="14"/>
      <c r="P48" s="1">
        <f>SUM(OSRRefP22_2x_0)</f>
        <v>761.03</v>
      </c>
      <c r="Q48" s="1"/>
      <c r="R48" s="5">
        <f t="shared" ref="R48:R56" si="39">IF(P$12=0,0,P48/P$12)</f>
        <v>3.3834906038701334E-3</v>
      </c>
      <c r="S48" s="1"/>
      <c r="T48" s="1">
        <f>SUM(OSRRefT22_2x_0)</f>
        <v>95.58</v>
      </c>
      <c r="U48" s="1"/>
      <c r="V48" s="5">
        <f t="shared" ref="V48:V56" si="40">IF(T$12=0,0,T48/T$12)</f>
        <v>5.6362878339801283E-3</v>
      </c>
      <c r="W48" s="1"/>
      <c r="X48" s="1">
        <f t="shared" ref="X48:X56" si="41">+P48-T48</f>
        <v>665.44999999999993</v>
      </c>
      <c r="Y48" s="1"/>
      <c r="Z48" s="5">
        <f t="shared" ref="Z48:Z56" si="42">IF(T48=0,0,X48/T48)</f>
        <v>6.9622305921740946</v>
      </c>
    </row>
    <row r="49" spans="1:26" s="24" customFormat="1" hidden="1" outlineLevel="2" x14ac:dyDescent="0.25">
      <c r="A49" s="28"/>
      <c r="B49" s="11" t="str">
        <f>CONCATENATE("          ", "6362", " - ", "ADVERTISING EXPENSE")</f>
        <v xml:space="preserve">          6362 - ADVERTISING EXPENSE</v>
      </c>
      <c r="C49" s="11"/>
      <c r="D49" s="7">
        <v>200.77</v>
      </c>
      <c r="E49" s="2"/>
      <c r="F49" s="6">
        <f t="shared" si="35"/>
        <v>1.3725207361584052E-3</v>
      </c>
      <c r="G49" s="2"/>
      <c r="H49" s="7">
        <v>49.61</v>
      </c>
      <c r="I49" s="2"/>
      <c r="J49" s="6">
        <f t="shared" si="36"/>
        <v>4.7518610897192759E-3</v>
      </c>
      <c r="K49" s="2"/>
      <c r="L49" s="7">
        <f t="shared" si="37"/>
        <v>151.16000000000003</v>
      </c>
      <c r="M49" s="2"/>
      <c r="N49" s="6">
        <f t="shared" si="38"/>
        <v>3.0469663374319698</v>
      </c>
      <c r="O49" s="11"/>
      <c r="P49" s="7">
        <v>761.03</v>
      </c>
      <c r="Q49" s="2"/>
      <c r="R49" s="6">
        <f t="shared" si="39"/>
        <v>3.3834906038701334E-3</v>
      </c>
      <c r="S49" s="2"/>
      <c r="T49" s="7">
        <v>95.58</v>
      </c>
      <c r="U49" s="2"/>
      <c r="V49" s="6">
        <f t="shared" si="40"/>
        <v>5.6362878339801283E-3</v>
      </c>
      <c r="W49" s="2"/>
      <c r="X49" s="7">
        <f t="shared" si="41"/>
        <v>665.44999999999993</v>
      </c>
      <c r="Y49" s="2"/>
      <c r="Z49" s="6">
        <f t="shared" si="42"/>
        <v>6.9622305921740946</v>
      </c>
    </row>
    <row r="50" spans="1:26" s="27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7.74</v>
      </c>
      <c r="E50" s="1"/>
      <c r="F50" s="5">
        <f t="shared" si="35"/>
        <v>5.2912838062788536E-5</v>
      </c>
      <c r="G50" s="1"/>
      <c r="H50" s="1">
        <f>SUM(OSRRefH22_3x_0)</f>
        <v>-193.82</v>
      </c>
      <c r="I50" s="1"/>
      <c r="J50" s="5">
        <f t="shared" si="36"/>
        <v>-1.8564920709723643E-2</v>
      </c>
      <c r="K50" s="1"/>
      <c r="L50" s="1">
        <f t="shared" si="37"/>
        <v>201.56</v>
      </c>
      <c r="M50" s="1"/>
      <c r="N50" s="5">
        <f t="shared" si="38"/>
        <v>-1.0399339593437211</v>
      </c>
      <c r="O50" s="14"/>
      <c r="P50" s="1">
        <f>SUM(OSRRefP22_3x_0)</f>
        <v>-100.8</v>
      </c>
      <c r="Q50" s="1"/>
      <c r="R50" s="5">
        <f t="shared" si="39"/>
        <v>-4.4815033950055774E-4</v>
      </c>
      <c r="S50" s="1"/>
      <c r="T50" s="1">
        <f>SUM(OSRRefT22_3x_0)</f>
        <v>-190.21</v>
      </c>
      <c r="U50" s="1"/>
      <c r="V50" s="5">
        <f t="shared" si="40"/>
        <v>-1.1216554811690314E-2</v>
      </c>
      <c r="W50" s="1"/>
      <c r="X50" s="1">
        <f t="shared" si="41"/>
        <v>89.410000000000011</v>
      </c>
      <c r="Y50" s="1"/>
      <c r="Z50" s="5">
        <f t="shared" si="42"/>
        <v>-0.47005940802271179</v>
      </c>
    </row>
    <row r="51" spans="1:26" s="24" customFormat="1" hidden="1" outlineLevel="2" x14ac:dyDescent="0.25">
      <c r="A51" s="28"/>
      <c r="B51" s="11" t="str">
        <f>CONCATENATE("          ", "6272", " - ", "CASH (OVER/SHORT)")</f>
        <v xml:space="preserve">          6272 - CASH (OVER/SHORT)</v>
      </c>
      <c r="C51" s="11"/>
      <c r="D51" s="7">
        <v>7.74</v>
      </c>
      <c r="E51" s="2"/>
      <c r="F51" s="6">
        <f t="shared" si="35"/>
        <v>5.2912838062788536E-5</v>
      </c>
      <c r="G51" s="2"/>
      <c r="H51" s="7">
        <v>-193.82</v>
      </c>
      <c r="I51" s="2"/>
      <c r="J51" s="6">
        <f t="shared" si="36"/>
        <v>-1.8564920709723643E-2</v>
      </c>
      <c r="K51" s="2"/>
      <c r="L51" s="7">
        <f t="shared" si="37"/>
        <v>201.56</v>
      </c>
      <c r="M51" s="2"/>
      <c r="N51" s="6">
        <f t="shared" si="38"/>
        <v>-1.0399339593437211</v>
      </c>
      <c r="O51" s="11"/>
      <c r="P51" s="7">
        <v>-100.8</v>
      </c>
      <c r="Q51" s="2"/>
      <c r="R51" s="6">
        <f t="shared" si="39"/>
        <v>-4.4815033950055774E-4</v>
      </c>
      <c r="S51" s="2"/>
      <c r="T51" s="7">
        <v>-190.21</v>
      </c>
      <c r="U51" s="2"/>
      <c r="V51" s="6">
        <f t="shared" si="40"/>
        <v>-1.1216554811690314E-2</v>
      </c>
      <c r="W51" s="2"/>
      <c r="X51" s="7">
        <f t="shared" si="41"/>
        <v>89.410000000000011</v>
      </c>
      <c r="Y51" s="2"/>
      <c r="Z51" s="6">
        <f t="shared" si="42"/>
        <v>-0.47005940802271179</v>
      </c>
    </row>
    <row r="52" spans="1:26" s="27" customFormat="1" outlineLevel="1" collapsed="1" x14ac:dyDescent="0.25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5813.93</v>
      </c>
      <c r="E52" s="1"/>
      <c r="F52" s="5">
        <f t="shared" si="35"/>
        <v>3.9745676563099248E-2</v>
      </c>
      <c r="G52" s="1"/>
      <c r="H52" s="1">
        <f>SUM(OSRRefH22_4x_0)</f>
        <v>603.61</v>
      </c>
      <c r="I52" s="1"/>
      <c r="J52" s="5">
        <f t="shared" si="36"/>
        <v>5.7816385252276802E-2</v>
      </c>
      <c r="K52" s="1"/>
      <c r="L52" s="1">
        <f t="shared" si="37"/>
        <v>5210.3200000000006</v>
      </c>
      <c r="M52" s="1"/>
      <c r="N52" s="5">
        <f t="shared" si="38"/>
        <v>8.6319312138632576</v>
      </c>
      <c r="O52" s="14"/>
      <c r="P52" s="1">
        <f>SUM(OSRRefP22_4x_0)</f>
        <v>9583.67</v>
      </c>
      <c r="Q52" s="1"/>
      <c r="R52" s="5">
        <f t="shared" si="39"/>
        <v>4.260838258096538E-2</v>
      </c>
      <c r="S52" s="1"/>
      <c r="T52" s="1">
        <f>SUM(OSRRefT22_4x_0)</f>
        <v>1339.5</v>
      </c>
      <c r="U52" s="1"/>
      <c r="V52" s="5">
        <f t="shared" si="40"/>
        <v>7.8989407340619183E-2</v>
      </c>
      <c r="W52" s="1"/>
      <c r="X52" s="1">
        <f t="shared" si="41"/>
        <v>8244.17</v>
      </c>
      <c r="Y52" s="1"/>
      <c r="Z52" s="5">
        <f t="shared" si="42"/>
        <v>6.1546621873833525</v>
      </c>
    </row>
    <row r="53" spans="1:26" s="24" customFormat="1" hidden="1" outlineLevel="2" x14ac:dyDescent="0.25">
      <c r="A53" s="28"/>
      <c r="B53" s="11" t="str">
        <f>CONCATENATE("          ", "6381", " - ", "BANK/CREDIT CARD FEES")</f>
        <v xml:space="preserve">          6381 - BANK/CREDIT CARD FEES</v>
      </c>
      <c r="C53" s="11"/>
      <c r="D53" s="7">
        <v>5813.93</v>
      </c>
      <c r="E53" s="2"/>
      <c r="F53" s="6">
        <f t="shared" si="35"/>
        <v>3.9745676563099248E-2</v>
      </c>
      <c r="G53" s="2"/>
      <c r="H53" s="7">
        <v>603.61</v>
      </c>
      <c r="I53" s="2"/>
      <c r="J53" s="6">
        <f t="shared" si="36"/>
        <v>5.7816385252276802E-2</v>
      </c>
      <c r="K53" s="2"/>
      <c r="L53" s="7">
        <f t="shared" si="37"/>
        <v>5210.3200000000006</v>
      </c>
      <c r="M53" s="2"/>
      <c r="N53" s="6">
        <f t="shared" si="38"/>
        <v>8.6319312138632576</v>
      </c>
      <c r="O53" s="11"/>
      <c r="P53" s="7">
        <v>9583.67</v>
      </c>
      <c r="Q53" s="2"/>
      <c r="R53" s="6">
        <f t="shared" si="39"/>
        <v>4.260838258096538E-2</v>
      </c>
      <c r="S53" s="2"/>
      <c r="T53" s="7">
        <v>1339.5</v>
      </c>
      <c r="U53" s="2"/>
      <c r="V53" s="6">
        <f t="shared" si="40"/>
        <v>7.8989407340619183E-2</v>
      </c>
      <c r="W53" s="2"/>
      <c r="X53" s="7">
        <f t="shared" si="41"/>
        <v>8244.17</v>
      </c>
      <c r="Y53" s="2"/>
      <c r="Z53" s="6">
        <f t="shared" si="42"/>
        <v>6.1546621873833525</v>
      </c>
    </row>
    <row r="54" spans="1:26" s="27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39917.57</v>
      </c>
      <c r="E54" s="1"/>
      <c r="F54" s="5">
        <f t="shared" si="35"/>
        <v>0.27288784460853049</v>
      </c>
      <c r="G54" s="1"/>
      <c r="H54" s="1">
        <f>SUM(OSRRefH22_5x_0)</f>
        <v>46945.41</v>
      </c>
      <c r="I54" s="1"/>
      <c r="J54" s="5">
        <f t="shared" si="36"/>
        <v>4.4966350961483208</v>
      </c>
      <c r="K54" s="1"/>
      <c r="L54" s="1">
        <f t="shared" si="37"/>
        <v>-7027.8400000000038</v>
      </c>
      <c r="M54" s="1"/>
      <c r="N54" s="5">
        <f t="shared" si="38"/>
        <v>-0.14970238836981087</v>
      </c>
      <c r="O54" s="14"/>
      <c r="P54" s="1">
        <f>SUM(OSRRefP22_5x_0)</f>
        <v>119840.87</v>
      </c>
      <c r="Q54" s="1"/>
      <c r="R54" s="5">
        <f t="shared" si="39"/>
        <v>0.53280482714823618</v>
      </c>
      <c r="S54" s="1"/>
      <c r="T54" s="1">
        <f>SUM(OSRRefT22_5x_0)</f>
        <v>140454.62</v>
      </c>
      <c r="U54" s="1"/>
      <c r="V54" s="5">
        <f t="shared" si="40"/>
        <v>8.2825137678625449</v>
      </c>
      <c r="W54" s="1"/>
      <c r="X54" s="1">
        <f t="shared" si="41"/>
        <v>-20613.75</v>
      </c>
      <c r="Y54" s="1"/>
      <c r="Z54" s="5">
        <f t="shared" si="42"/>
        <v>-0.14676448521237678</v>
      </c>
    </row>
    <row r="55" spans="1:26" s="24" customFormat="1" hidden="1" outlineLevel="2" x14ac:dyDescent="0.25">
      <c r="A55" s="28"/>
      <c r="B55" s="11" t="str">
        <f>CONCATENATE("          ", "6321", " - ", "BUILDING DEPRECIATION")</f>
        <v xml:space="preserve">          6321 - BUILDING DEPRECIATION</v>
      </c>
      <c r="C55" s="11"/>
      <c r="D55" s="7">
        <v>28619.91</v>
      </c>
      <c r="E55" s="2"/>
      <c r="F55" s="6">
        <f t="shared" si="35"/>
        <v>0.1956538324549848</v>
      </c>
      <c r="G55" s="2"/>
      <c r="H55" s="7">
        <v>28925.39</v>
      </c>
      <c r="I55" s="2"/>
      <c r="J55" s="6">
        <f t="shared" si="36"/>
        <v>2.7705993800837541</v>
      </c>
      <c r="K55" s="2"/>
      <c r="L55" s="7">
        <f t="shared" si="37"/>
        <v>-305.47999999999956</v>
      </c>
      <c r="M55" s="2"/>
      <c r="N55" s="6">
        <f t="shared" si="38"/>
        <v>-1.056096391440183E-2</v>
      </c>
      <c r="O55" s="11"/>
      <c r="P55" s="7">
        <v>85947.87</v>
      </c>
      <c r="Q55" s="2"/>
      <c r="R55" s="6">
        <f t="shared" si="39"/>
        <v>0.38211872142708136</v>
      </c>
      <c r="S55" s="2"/>
      <c r="T55" s="7">
        <v>86776.19</v>
      </c>
      <c r="U55" s="2"/>
      <c r="V55" s="6">
        <f t="shared" si="40"/>
        <v>5.1171331238349875</v>
      </c>
      <c r="W55" s="2"/>
      <c r="X55" s="7">
        <f t="shared" si="41"/>
        <v>-828.32000000000698</v>
      </c>
      <c r="Y55" s="2"/>
      <c r="Z55" s="6">
        <f t="shared" si="42"/>
        <v>-9.5454755503785876E-3</v>
      </c>
    </row>
    <row r="56" spans="1:26" s="24" customFormat="1" hidden="1" outlineLevel="2" x14ac:dyDescent="0.25">
      <c r="A56" s="28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11297.66</v>
      </c>
      <c r="E56" s="2"/>
      <c r="F56" s="6">
        <f t="shared" si="35"/>
        <v>7.7234012153545681E-2</v>
      </c>
      <c r="G56" s="2"/>
      <c r="H56" s="7">
        <v>18020.02</v>
      </c>
      <c r="I56" s="2"/>
      <c r="J56" s="6">
        <f t="shared" si="36"/>
        <v>1.7260357160645665</v>
      </c>
      <c r="K56" s="2"/>
      <c r="L56" s="7">
        <f t="shared" si="37"/>
        <v>-6722.3600000000006</v>
      </c>
      <c r="M56" s="2"/>
      <c r="N56" s="6">
        <f t="shared" si="38"/>
        <v>-0.37304953046666989</v>
      </c>
      <c r="O56" s="11"/>
      <c r="P56" s="7">
        <v>33893</v>
      </c>
      <c r="Q56" s="2"/>
      <c r="R56" s="6">
        <f t="shared" si="39"/>
        <v>0.15068610572115479</v>
      </c>
      <c r="S56" s="2"/>
      <c r="T56" s="7">
        <v>53678.43</v>
      </c>
      <c r="U56" s="2"/>
      <c r="V56" s="6">
        <f t="shared" si="40"/>
        <v>3.1653806440275574</v>
      </c>
      <c r="W56" s="2"/>
      <c r="X56" s="7">
        <f t="shared" si="41"/>
        <v>-19785.43</v>
      </c>
      <c r="Y56" s="2"/>
      <c r="Z56" s="6">
        <f t="shared" si="42"/>
        <v>-0.36859181611682756</v>
      </c>
    </row>
    <row r="57" spans="1:26" s="27" customFormat="1" outlineLevel="1" collapsed="1" x14ac:dyDescent="0.25">
      <c r="A57" s="29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SUM(OSRRefD22_6x_0)</f>
        <v>0</v>
      </c>
      <c r="E57" s="1"/>
      <c r="F57" s="5">
        <f t="shared" ref="F57:F63" si="43">IF(D$12=0,0,D57/D$12)</f>
        <v>0</v>
      </c>
      <c r="G57" s="1"/>
      <c r="H57" s="1">
        <f>SUM(OSRRefH22_6x_0)</f>
        <v>0</v>
      </c>
      <c r="I57" s="1"/>
      <c r="J57" s="5">
        <f t="shared" ref="J57:J63" si="44">IF(H$12=0,0,H57/H$12)</f>
        <v>0</v>
      </c>
      <c r="K57" s="1"/>
      <c r="L57" s="1">
        <f t="shared" ref="L57:L63" si="45">+D57-H57</f>
        <v>0</v>
      </c>
      <c r="M57" s="1"/>
      <c r="N57" s="5">
        <f t="shared" ref="N57:N63" si="46">IF(H57=0,0,L57/H57)</f>
        <v>0</v>
      </c>
      <c r="O57" s="14"/>
      <c r="P57" s="1">
        <f>SUM(OSRRefP22_6x_0)</f>
        <v>18</v>
      </c>
      <c r="Q57" s="1"/>
      <c r="R57" s="5">
        <f t="shared" ref="R57:R63" si="47">IF(P$12=0,0,P57/P$12)</f>
        <v>8.0026846339385316E-5</v>
      </c>
      <c r="S57" s="1"/>
      <c r="T57" s="1">
        <f>SUM(OSRRefT22_6x_0)</f>
        <v>0</v>
      </c>
      <c r="U57" s="1"/>
      <c r="V57" s="5">
        <f t="shared" ref="V57:V63" si="48">IF(T$12=0,0,T57/T$12)</f>
        <v>0</v>
      </c>
      <c r="W57" s="1"/>
      <c r="X57" s="1">
        <f t="shared" ref="X57:X63" si="49">+P57-T57</f>
        <v>18</v>
      </c>
      <c r="Y57" s="1"/>
      <c r="Z57" s="5">
        <f t="shared" ref="Z57:Z63" si="50">IF(T57=0,0,X57/T57)</f>
        <v>0</v>
      </c>
    </row>
    <row r="58" spans="1:26" s="24" customFormat="1" hidden="1" outlineLevel="2" x14ac:dyDescent="0.25">
      <c r="A58" s="28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43"/>
        <v>0</v>
      </c>
      <c r="G58" s="2"/>
      <c r="H58" s="7"/>
      <c r="I58" s="2"/>
      <c r="J58" s="6">
        <f t="shared" si="44"/>
        <v>0</v>
      </c>
      <c r="K58" s="2"/>
      <c r="L58" s="7">
        <f t="shared" si="45"/>
        <v>0</v>
      </c>
      <c r="M58" s="2"/>
      <c r="N58" s="6">
        <f t="shared" si="46"/>
        <v>0</v>
      </c>
      <c r="O58" s="11"/>
      <c r="P58" s="7">
        <v>18</v>
      </c>
      <c r="Q58" s="2"/>
      <c r="R58" s="6">
        <f t="shared" si="47"/>
        <v>8.0026846339385316E-5</v>
      </c>
      <c r="S58" s="2"/>
      <c r="T58" s="7"/>
      <c r="U58" s="2"/>
      <c r="V58" s="6">
        <f t="shared" si="48"/>
        <v>0</v>
      </c>
      <c r="W58" s="2"/>
      <c r="X58" s="7">
        <f t="shared" si="49"/>
        <v>18</v>
      </c>
      <c r="Y58" s="2"/>
      <c r="Z58" s="6">
        <f t="shared" si="50"/>
        <v>0</v>
      </c>
    </row>
    <row r="59" spans="1:26" s="27" customFormat="1" outlineLevel="1" collapsed="1" x14ac:dyDescent="0.25">
      <c r="A59" s="29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SUM(OSRRefD22_7x_0)</f>
        <v>91.26</v>
      </c>
      <c r="E59" s="1"/>
      <c r="F59" s="5">
        <f t="shared" si="43"/>
        <v>6.2387927669380907E-4</v>
      </c>
      <c r="G59" s="1"/>
      <c r="H59" s="1">
        <f>SUM(OSRRefH22_7x_0)</f>
        <v>283.86</v>
      </c>
      <c r="I59" s="1"/>
      <c r="J59" s="5">
        <f t="shared" si="44"/>
        <v>2.7189342651233898E-2</v>
      </c>
      <c r="K59" s="1"/>
      <c r="L59" s="1">
        <f t="shared" si="45"/>
        <v>-192.60000000000002</v>
      </c>
      <c r="M59" s="1"/>
      <c r="N59" s="5">
        <f t="shared" si="46"/>
        <v>-0.67850348763474955</v>
      </c>
      <c r="O59" s="14"/>
      <c r="P59" s="1">
        <f>SUM(OSRRefP22_7x_0)</f>
        <v>1798.71</v>
      </c>
      <c r="Q59" s="1"/>
      <c r="R59" s="5">
        <f t="shared" si="47"/>
        <v>7.9969493766175424E-3</v>
      </c>
      <c r="S59" s="1"/>
      <c r="T59" s="1">
        <f>SUM(OSRRefT22_7x_0)</f>
        <v>1316.61</v>
      </c>
      <c r="U59" s="1"/>
      <c r="V59" s="5">
        <f t="shared" si="48"/>
        <v>7.763959955112551E-2</v>
      </c>
      <c r="W59" s="1"/>
      <c r="X59" s="1">
        <f t="shared" si="49"/>
        <v>482.10000000000014</v>
      </c>
      <c r="Y59" s="1"/>
      <c r="Z59" s="5">
        <f t="shared" si="50"/>
        <v>0.36616765784856575</v>
      </c>
    </row>
    <row r="60" spans="1:26" s="24" customFormat="1" hidden="1" outlineLevel="2" x14ac:dyDescent="0.25">
      <c r="A60" s="28"/>
      <c r="B60" s="11" t="str">
        <f>CONCATENATE("          ", "6351", " - ", "EQUIPMENT RENTAL")</f>
        <v xml:space="preserve">          6351 - EQUIPMENT RENTAL</v>
      </c>
      <c r="C60" s="11"/>
      <c r="D60" s="7">
        <v>91.26</v>
      </c>
      <c r="E60" s="2"/>
      <c r="F60" s="6">
        <f t="shared" si="43"/>
        <v>6.2387927669380907E-4</v>
      </c>
      <c r="G60" s="2"/>
      <c r="H60" s="7">
        <v>283.86</v>
      </c>
      <c r="I60" s="2"/>
      <c r="J60" s="6">
        <f t="shared" si="44"/>
        <v>2.7189342651233898E-2</v>
      </c>
      <c r="K60" s="2"/>
      <c r="L60" s="7">
        <f t="shared" si="45"/>
        <v>-192.60000000000002</v>
      </c>
      <c r="M60" s="2"/>
      <c r="N60" s="6">
        <f t="shared" si="46"/>
        <v>-0.67850348763474955</v>
      </c>
      <c r="O60" s="11"/>
      <c r="P60" s="7">
        <v>1798.71</v>
      </c>
      <c r="Q60" s="2"/>
      <c r="R60" s="6">
        <f t="shared" si="47"/>
        <v>7.9969493766175424E-3</v>
      </c>
      <c r="S60" s="2"/>
      <c r="T60" s="7">
        <v>1316.61</v>
      </c>
      <c r="U60" s="2"/>
      <c r="V60" s="6">
        <f t="shared" si="48"/>
        <v>7.763959955112551E-2</v>
      </c>
      <c r="W60" s="2"/>
      <c r="X60" s="7">
        <f t="shared" si="49"/>
        <v>482.10000000000014</v>
      </c>
      <c r="Y60" s="2"/>
      <c r="Z60" s="6">
        <f t="shared" si="50"/>
        <v>0.36616765784856575</v>
      </c>
    </row>
    <row r="61" spans="1:26" s="27" customFormat="1" outlineLevel="1" collapsed="1" x14ac:dyDescent="0.25">
      <c r="A61" s="29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SUM(OSRRefD22_8x_0)</f>
        <v>0</v>
      </c>
      <c r="E61" s="1"/>
      <c r="F61" s="5">
        <f t="shared" si="43"/>
        <v>0</v>
      </c>
      <c r="G61" s="1"/>
      <c r="H61" s="1">
        <f>SUM(OSRRefH22_8x_0)</f>
        <v>0.64999999999999947</v>
      </c>
      <c r="I61" s="1"/>
      <c r="J61" s="5">
        <f t="shared" si="44"/>
        <v>6.2259820768343618E-5</v>
      </c>
      <c r="K61" s="1"/>
      <c r="L61" s="1">
        <f t="shared" si="45"/>
        <v>-0.64999999999999947</v>
      </c>
      <c r="M61" s="1"/>
      <c r="N61" s="5">
        <f t="shared" si="46"/>
        <v>-1</v>
      </c>
      <c r="O61" s="14"/>
      <c r="P61" s="1">
        <f>SUM(OSRRefP22_8x_0)</f>
        <v>0</v>
      </c>
      <c r="Q61" s="1"/>
      <c r="R61" s="5">
        <f t="shared" si="47"/>
        <v>0</v>
      </c>
      <c r="S61" s="1"/>
      <c r="T61" s="1">
        <f>SUM(OSRRefT22_8x_0)</f>
        <v>4.59</v>
      </c>
      <c r="U61" s="1"/>
      <c r="V61" s="5">
        <f t="shared" si="48"/>
        <v>2.7066918976740727E-4</v>
      </c>
      <c r="W61" s="1"/>
      <c r="X61" s="1">
        <f t="shared" si="49"/>
        <v>-4.59</v>
      </c>
      <c r="Y61" s="1"/>
      <c r="Z61" s="5">
        <f t="shared" si="50"/>
        <v>-1</v>
      </c>
    </row>
    <row r="62" spans="1:26" s="24" customFormat="1" hidden="1" outlineLevel="2" x14ac:dyDescent="0.25">
      <c r="A62" s="28"/>
      <c r="B62" s="11" t="str">
        <f>CONCATENATE("          ", "6305", " - ", "FREIGHT OUT")</f>
        <v xml:space="preserve">          6305 - FREIGHT OUT</v>
      </c>
      <c r="C62" s="11"/>
      <c r="D62" s="7"/>
      <c r="E62" s="2"/>
      <c r="F62" s="6">
        <f t="shared" si="43"/>
        <v>0</v>
      </c>
      <c r="G62" s="2"/>
      <c r="H62" s="7">
        <v>6.06</v>
      </c>
      <c r="I62" s="2"/>
      <c r="J62" s="6">
        <f t="shared" si="44"/>
        <v>5.8045309824025012E-4</v>
      </c>
      <c r="K62" s="2"/>
      <c r="L62" s="7">
        <f t="shared" si="45"/>
        <v>-6.06</v>
      </c>
      <c r="M62" s="2"/>
      <c r="N62" s="6">
        <f t="shared" si="46"/>
        <v>-1</v>
      </c>
      <c r="O62" s="11"/>
      <c r="P62" s="7"/>
      <c r="Q62" s="2"/>
      <c r="R62" s="6">
        <f t="shared" si="47"/>
        <v>0</v>
      </c>
      <c r="S62" s="2"/>
      <c r="T62" s="7">
        <v>10</v>
      </c>
      <c r="U62" s="2"/>
      <c r="V62" s="6">
        <f t="shared" si="48"/>
        <v>5.8969322389413356E-4</v>
      </c>
      <c r="W62" s="2"/>
      <c r="X62" s="7">
        <f t="shared" si="49"/>
        <v>-10</v>
      </c>
      <c r="Y62" s="2"/>
      <c r="Z62" s="6">
        <f t="shared" si="50"/>
        <v>-1</v>
      </c>
    </row>
    <row r="63" spans="1:26" s="24" customFormat="1" hidden="1" outlineLevel="2" x14ac:dyDescent="0.25">
      <c r="A63" s="28"/>
      <c r="B63" s="11" t="str">
        <f>CONCATENATE("          ", "6307", " - ", "POSTAGE")</f>
        <v xml:space="preserve">          6307 - POSTAGE</v>
      </c>
      <c r="C63" s="11"/>
      <c r="D63" s="7"/>
      <c r="E63" s="2"/>
      <c r="F63" s="6">
        <f t="shared" si="43"/>
        <v>0</v>
      </c>
      <c r="G63" s="2"/>
      <c r="H63" s="7">
        <v>-5.41</v>
      </c>
      <c r="I63" s="2"/>
      <c r="J63" s="6">
        <f t="shared" si="44"/>
        <v>-5.1819327747190647E-4</v>
      </c>
      <c r="K63" s="2"/>
      <c r="L63" s="7">
        <f t="shared" si="45"/>
        <v>5.41</v>
      </c>
      <c r="M63" s="2"/>
      <c r="N63" s="6">
        <f t="shared" si="46"/>
        <v>-1</v>
      </c>
      <c r="O63" s="11"/>
      <c r="P63" s="7"/>
      <c r="Q63" s="2"/>
      <c r="R63" s="6">
        <f t="shared" si="47"/>
        <v>0</v>
      </c>
      <c r="S63" s="2"/>
      <c r="T63" s="7">
        <v>-5.41</v>
      </c>
      <c r="U63" s="2"/>
      <c r="V63" s="6">
        <f t="shared" si="48"/>
        <v>-3.1902403412672624E-4</v>
      </c>
      <c r="W63" s="2"/>
      <c r="X63" s="7">
        <f t="shared" si="49"/>
        <v>5.41</v>
      </c>
      <c r="Y63" s="2"/>
      <c r="Z63" s="6">
        <f t="shared" si="50"/>
        <v>-1</v>
      </c>
    </row>
    <row r="64" spans="1:26" s="27" customFormat="1" outlineLevel="1" collapsed="1" x14ac:dyDescent="0.25">
      <c r="A64" s="29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SUM(OSRRefD22_9x_0)</f>
        <v>0</v>
      </c>
      <c r="E64" s="1"/>
      <c r="F64" s="5">
        <f t="shared" ref="F64:F75" si="51">IF(D$12=0,0,D64/D$12)</f>
        <v>0</v>
      </c>
      <c r="G64" s="1"/>
      <c r="H64" s="1">
        <f>SUM(OSRRefH22_9x_0)</f>
        <v>550.52</v>
      </c>
      <c r="I64" s="1"/>
      <c r="J64" s="5">
        <f t="shared" ref="J64:J75" si="52">IF(H$12=0,0,H64/H$12)</f>
        <v>5.2731194660597773E-2</v>
      </c>
      <c r="K64" s="1"/>
      <c r="L64" s="1">
        <f t="shared" ref="L64:L75" si="53">+D64-H64</f>
        <v>-550.52</v>
      </c>
      <c r="M64" s="1"/>
      <c r="N64" s="5">
        <f t="shared" ref="N64:N75" si="54">IF(H64=0,0,L64/H64)</f>
        <v>-1</v>
      </c>
      <c r="O64" s="14"/>
      <c r="P64" s="1">
        <f>SUM(OSRRefP22_9x_0)</f>
        <v>13934.21</v>
      </c>
      <c r="Q64" s="1"/>
      <c r="R64" s="5">
        <f t="shared" ref="R64:R75" si="55">IF(P$12=0,0,P64/P$12)</f>
        <v>6.1950604585040342E-2</v>
      </c>
      <c r="S64" s="1"/>
      <c r="T64" s="1">
        <f>SUM(OSRRefT22_9x_0)</f>
        <v>5275.55</v>
      </c>
      <c r="U64" s="1"/>
      <c r="V64" s="5">
        <f t="shared" ref="V64:V75" si="56">IF(T$12=0,0,T64/T$12)</f>
        <v>0.31109560873146963</v>
      </c>
      <c r="W64" s="1"/>
      <c r="X64" s="1">
        <f t="shared" ref="X64:X75" si="57">+P64-T64</f>
        <v>8658.66</v>
      </c>
      <c r="Y64" s="1"/>
      <c r="Z64" s="5">
        <f t="shared" ref="Z64:Z75" si="58">IF(T64=0,0,X64/T64)</f>
        <v>1.641281003876373</v>
      </c>
    </row>
    <row r="65" spans="1:26" s="24" customFormat="1" hidden="1" outlineLevel="2" x14ac:dyDescent="0.25">
      <c r="A65" s="28"/>
      <c r="B65" s="11" t="str">
        <f>CONCATENATE("          ", "6279", " - ", "GENERAL EXPENSE")</f>
        <v xml:space="preserve">          6279 - GENERAL EXPENSE</v>
      </c>
      <c r="C65" s="11"/>
      <c r="D65" s="7"/>
      <c r="E65" s="2"/>
      <c r="F65" s="6">
        <f t="shared" si="51"/>
        <v>0</v>
      </c>
      <c r="G65" s="2"/>
      <c r="H65" s="7">
        <v>550.52</v>
      </c>
      <c r="I65" s="2"/>
      <c r="J65" s="6">
        <f t="shared" si="52"/>
        <v>5.2731194660597773E-2</v>
      </c>
      <c r="K65" s="2"/>
      <c r="L65" s="7">
        <f t="shared" si="53"/>
        <v>-550.52</v>
      </c>
      <c r="M65" s="2"/>
      <c r="N65" s="6">
        <f t="shared" si="54"/>
        <v>-1</v>
      </c>
      <c r="O65" s="11"/>
      <c r="P65" s="7">
        <v>13934.21</v>
      </c>
      <c r="Q65" s="2"/>
      <c r="R65" s="6">
        <f t="shared" si="55"/>
        <v>6.1950604585040342E-2</v>
      </c>
      <c r="S65" s="2"/>
      <c r="T65" s="7">
        <v>5275.55</v>
      </c>
      <c r="U65" s="2"/>
      <c r="V65" s="6">
        <f t="shared" si="56"/>
        <v>0.31109560873146963</v>
      </c>
      <c r="W65" s="2"/>
      <c r="X65" s="7">
        <f t="shared" si="57"/>
        <v>8658.66</v>
      </c>
      <c r="Y65" s="2"/>
      <c r="Z65" s="6">
        <f t="shared" si="58"/>
        <v>1.641281003876373</v>
      </c>
    </row>
    <row r="66" spans="1:26" s="27" customFormat="1" outlineLevel="1" collapsed="1" x14ac:dyDescent="0.25">
      <c r="A66" s="29"/>
      <c r="B66" s="14" t="str">
        <f>CONCATENATE("     ","Insurance                                         ")</f>
        <v xml:space="preserve">     Insurance                                         </v>
      </c>
      <c r="C66" s="14"/>
      <c r="D66" s="1">
        <f>SUM(OSRRefD22_10x_0)</f>
        <v>6087.22</v>
      </c>
      <c r="E66" s="1"/>
      <c r="F66" s="5">
        <f t="shared" si="51"/>
        <v>4.1613964614026833E-2</v>
      </c>
      <c r="G66" s="1"/>
      <c r="H66" s="1">
        <f>SUM(OSRRefH22_10x_0)</f>
        <v>4483.67</v>
      </c>
      <c r="I66" s="1"/>
      <c r="J66" s="5">
        <f t="shared" si="52"/>
        <v>0.42946537012984531</v>
      </c>
      <c r="K66" s="1"/>
      <c r="L66" s="1">
        <f t="shared" si="53"/>
        <v>1603.5500000000002</v>
      </c>
      <c r="M66" s="1"/>
      <c r="N66" s="5">
        <f t="shared" si="54"/>
        <v>0.35764228857163888</v>
      </c>
      <c r="O66" s="14"/>
      <c r="P66" s="1">
        <f>SUM(OSRRefP22_10x_0)</f>
        <v>18261.66</v>
      </c>
      <c r="Q66" s="1"/>
      <c r="R66" s="5">
        <f t="shared" si="55"/>
        <v>8.1190169929005504E-2</v>
      </c>
      <c r="S66" s="1"/>
      <c r="T66" s="1">
        <f>SUM(OSRRefT22_10x_0)</f>
        <v>13451.01</v>
      </c>
      <c r="U66" s="1"/>
      <c r="V66" s="5">
        <f t="shared" si="56"/>
        <v>0.79319694515322292</v>
      </c>
      <c r="W66" s="1"/>
      <c r="X66" s="1">
        <f t="shared" si="57"/>
        <v>4810.6499999999996</v>
      </c>
      <c r="Y66" s="1"/>
      <c r="Z66" s="5">
        <f t="shared" si="58"/>
        <v>0.35764228857163882</v>
      </c>
    </row>
    <row r="67" spans="1:26" s="24" customFormat="1" hidden="1" outlineLevel="2" x14ac:dyDescent="0.25">
      <c r="A67" s="28"/>
      <c r="B67" s="11" t="str">
        <f>CONCATENATE("          ", "6314", " - ", "LIABILITY INSURANCE")</f>
        <v xml:space="preserve">          6314 - LIABILITY INSURANCE</v>
      </c>
      <c r="C67" s="11"/>
      <c r="D67" s="7">
        <v>6087.22</v>
      </c>
      <c r="E67" s="2"/>
      <c r="F67" s="6">
        <f t="shared" si="51"/>
        <v>4.1613964614026833E-2</v>
      </c>
      <c r="G67" s="2"/>
      <c r="H67" s="7">
        <v>4483.67</v>
      </c>
      <c r="I67" s="2"/>
      <c r="J67" s="6">
        <f t="shared" si="52"/>
        <v>0.42946537012984531</v>
      </c>
      <c r="K67" s="2"/>
      <c r="L67" s="7">
        <f t="shared" si="53"/>
        <v>1603.5500000000002</v>
      </c>
      <c r="M67" s="2"/>
      <c r="N67" s="6">
        <f t="shared" si="54"/>
        <v>0.35764228857163888</v>
      </c>
      <c r="O67" s="11"/>
      <c r="P67" s="7">
        <v>18261.66</v>
      </c>
      <c r="Q67" s="2"/>
      <c r="R67" s="6">
        <f t="shared" si="55"/>
        <v>8.1190169929005504E-2</v>
      </c>
      <c r="S67" s="2"/>
      <c r="T67" s="7">
        <v>13451.01</v>
      </c>
      <c r="U67" s="2"/>
      <c r="V67" s="6">
        <f t="shared" si="56"/>
        <v>0.79319694515322292</v>
      </c>
      <c r="W67" s="2"/>
      <c r="X67" s="7">
        <f t="shared" si="57"/>
        <v>4810.6499999999996</v>
      </c>
      <c r="Y67" s="2"/>
      <c r="Z67" s="6">
        <f t="shared" si="58"/>
        <v>0.35764228857163882</v>
      </c>
    </row>
    <row r="68" spans="1:26" s="27" customFormat="1" outlineLevel="1" collapsed="1" x14ac:dyDescent="0.25">
      <c r="A68" s="29"/>
      <c r="B68" s="14" t="str">
        <f>CONCATENATE("     ","Interest                                          ")</f>
        <v xml:space="preserve">     Interest                                          </v>
      </c>
      <c r="C68" s="14"/>
      <c r="D68" s="1">
        <f>SUM(OSRRefD22_11x_0)</f>
        <v>11158</v>
      </c>
      <c r="E68" s="1"/>
      <c r="F68" s="5">
        <f t="shared" si="51"/>
        <v>7.6279256731859757E-2</v>
      </c>
      <c r="G68" s="1"/>
      <c r="H68" s="1">
        <f>SUM(OSRRefH22_11x_0)</f>
        <v>11554</v>
      </c>
      <c r="I68" s="1"/>
      <c r="J68" s="5">
        <f t="shared" si="52"/>
        <v>1.1066922602422196</v>
      </c>
      <c r="K68" s="1"/>
      <c r="L68" s="1">
        <f t="shared" si="53"/>
        <v>-396</v>
      </c>
      <c r="M68" s="1"/>
      <c r="N68" s="5">
        <f t="shared" si="54"/>
        <v>-3.4273844555997926E-2</v>
      </c>
      <c r="O68" s="14"/>
      <c r="P68" s="1">
        <f>SUM(OSRRefP22_11x_0)</f>
        <v>33474</v>
      </c>
      <c r="Q68" s="1"/>
      <c r="R68" s="5">
        <f t="shared" si="55"/>
        <v>0.14882325857581022</v>
      </c>
      <c r="S68" s="1"/>
      <c r="T68" s="1">
        <f>SUM(OSRRefT22_11x_0)</f>
        <v>34662</v>
      </c>
      <c r="U68" s="1"/>
      <c r="V68" s="5">
        <f t="shared" si="56"/>
        <v>2.0439946526618455</v>
      </c>
      <c r="W68" s="1"/>
      <c r="X68" s="1">
        <f t="shared" si="57"/>
        <v>-1188</v>
      </c>
      <c r="Y68" s="1"/>
      <c r="Z68" s="5">
        <f t="shared" si="58"/>
        <v>-3.4273844555997926E-2</v>
      </c>
    </row>
    <row r="69" spans="1:26" s="24" customFormat="1" hidden="1" outlineLevel="2" x14ac:dyDescent="0.25">
      <c r="A69" s="28"/>
      <c r="B69" s="11" t="str">
        <f>CONCATENATE("          ", "6401", " - ", "INTEREST EXPENSE")</f>
        <v xml:space="preserve">          6401 - INTEREST EXPENSE</v>
      </c>
      <c r="C69" s="11"/>
      <c r="D69" s="7">
        <v>11158</v>
      </c>
      <c r="E69" s="2"/>
      <c r="F69" s="6">
        <f t="shared" si="51"/>
        <v>7.6279256731859757E-2</v>
      </c>
      <c r="G69" s="2"/>
      <c r="H69" s="7">
        <v>11554</v>
      </c>
      <c r="I69" s="2"/>
      <c r="J69" s="6">
        <f t="shared" si="52"/>
        <v>1.1066922602422196</v>
      </c>
      <c r="K69" s="2"/>
      <c r="L69" s="7">
        <f t="shared" si="53"/>
        <v>-396</v>
      </c>
      <c r="M69" s="2"/>
      <c r="N69" s="6">
        <f t="shared" si="54"/>
        <v>-3.4273844555997926E-2</v>
      </c>
      <c r="O69" s="11"/>
      <c r="P69" s="7">
        <v>33474</v>
      </c>
      <c r="Q69" s="2"/>
      <c r="R69" s="6">
        <f t="shared" si="55"/>
        <v>0.14882325857581022</v>
      </c>
      <c r="S69" s="2"/>
      <c r="T69" s="7">
        <v>34662</v>
      </c>
      <c r="U69" s="2"/>
      <c r="V69" s="6">
        <f t="shared" si="56"/>
        <v>2.0439946526618455</v>
      </c>
      <c r="W69" s="2"/>
      <c r="X69" s="7">
        <f t="shared" si="57"/>
        <v>-1188</v>
      </c>
      <c r="Y69" s="2"/>
      <c r="Z69" s="6">
        <f t="shared" si="58"/>
        <v>-3.4273844555997926E-2</v>
      </c>
    </row>
    <row r="70" spans="1:26" s="27" customFormat="1" outlineLevel="1" collapsed="1" x14ac:dyDescent="0.25">
      <c r="A70" s="29"/>
      <c r="B70" s="14" t="str">
        <f>CONCATENATE("     ","Rent                                              ")</f>
        <v xml:space="preserve">     Rent                                              </v>
      </c>
      <c r="C70" s="14"/>
      <c r="D70" s="1">
        <f>SUM(OSRRefD22_12x_0)</f>
        <v>1850</v>
      </c>
      <c r="E70" s="1"/>
      <c r="F70" s="5">
        <f t="shared" si="51"/>
        <v>1.2647125376764701E-2</v>
      </c>
      <c r="G70" s="1"/>
      <c r="H70" s="1">
        <f>SUM(OSRRefH22_12x_0)</f>
        <v>5550</v>
      </c>
      <c r="I70" s="1"/>
      <c r="J70" s="5">
        <f t="shared" si="52"/>
        <v>0.53160308502201126</v>
      </c>
      <c r="K70" s="1"/>
      <c r="L70" s="1">
        <f t="shared" si="53"/>
        <v>-3700</v>
      </c>
      <c r="M70" s="1"/>
      <c r="N70" s="5">
        <f t="shared" si="54"/>
        <v>-0.66666666666666663</v>
      </c>
      <c r="O70" s="14"/>
      <c r="P70" s="1">
        <f>SUM(OSRRefP22_12x_0)</f>
        <v>5550</v>
      </c>
      <c r="Q70" s="1"/>
      <c r="R70" s="5">
        <f t="shared" si="55"/>
        <v>2.4674944287977139E-2</v>
      </c>
      <c r="S70" s="1"/>
      <c r="T70" s="1">
        <f>SUM(OSRRefT22_12x_0)</f>
        <v>5550</v>
      </c>
      <c r="U70" s="1"/>
      <c r="V70" s="5">
        <f t="shared" si="56"/>
        <v>0.3272797392612441</v>
      </c>
      <c r="W70" s="1"/>
      <c r="X70" s="1">
        <f t="shared" si="57"/>
        <v>0</v>
      </c>
      <c r="Y70" s="1"/>
      <c r="Z70" s="5">
        <f t="shared" si="58"/>
        <v>0</v>
      </c>
    </row>
    <row r="71" spans="1:26" s="24" customFormat="1" hidden="1" outlineLevel="2" x14ac:dyDescent="0.25">
      <c r="A71" s="28"/>
      <c r="B71" s="11" t="str">
        <f>CONCATENATE("          ", "6273", " - ", "RENT")</f>
        <v xml:space="preserve">          6273 - RENT</v>
      </c>
      <c r="C71" s="11"/>
      <c r="D71" s="7">
        <v>1850</v>
      </c>
      <c r="E71" s="2"/>
      <c r="F71" s="6">
        <f t="shared" si="51"/>
        <v>1.2647125376764701E-2</v>
      </c>
      <c r="G71" s="2"/>
      <c r="H71" s="7">
        <v>5550</v>
      </c>
      <c r="I71" s="2"/>
      <c r="J71" s="6">
        <f t="shared" si="52"/>
        <v>0.53160308502201126</v>
      </c>
      <c r="K71" s="2"/>
      <c r="L71" s="7">
        <f t="shared" si="53"/>
        <v>-3700</v>
      </c>
      <c r="M71" s="2"/>
      <c r="N71" s="6">
        <f t="shared" si="54"/>
        <v>-0.66666666666666663</v>
      </c>
      <c r="O71" s="11"/>
      <c r="P71" s="7">
        <v>5550</v>
      </c>
      <c r="Q71" s="2"/>
      <c r="R71" s="6">
        <f t="shared" si="55"/>
        <v>2.4674944287977139E-2</v>
      </c>
      <c r="S71" s="2"/>
      <c r="T71" s="7">
        <v>5550</v>
      </c>
      <c r="U71" s="2"/>
      <c r="V71" s="6">
        <f t="shared" si="56"/>
        <v>0.3272797392612441</v>
      </c>
      <c r="W71" s="2"/>
      <c r="X71" s="7">
        <f t="shared" si="57"/>
        <v>0</v>
      </c>
      <c r="Y71" s="2"/>
      <c r="Z71" s="6">
        <f t="shared" si="58"/>
        <v>0</v>
      </c>
    </row>
    <row r="72" spans="1:26" s="27" customFormat="1" outlineLevel="1" collapsed="1" x14ac:dyDescent="0.25">
      <c r="A72" s="29"/>
      <c r="B72" s="14" t="str">
        <f>CONCATENATE("     ","Repair and Maintenance                            ")</f>
        <v xml:space="preserve">     Repair and Maintenance                            </v>
      </c>
      <c r="C72" s="14"/>
      <c r="D72" s="1">
        <f>SUM(OSRRefD22_13x_0)</f>
        <v>3481.81</v>
      </c>
      <c r="E72" s="1"/>
      <c r="F72" s="5">
        <f t="shared" si="51"/>
        <v>2.3802641950309789E-2</v>
      </c>
      <c r="G72" s="1"/>
      <c r="H72" s="1">
        <f>SUM(OSRRefH22_13x_0)</f>
        <v>3137.59</v>
      </c>
      <c r="I72" s="1"/>
      <c r="J72" s="5">
        <f t="shared" si="52"/>
        <v>0.30053198622238064</v>
      </c>
      <c r="K72" s="1"/>
      <c r="L72" s="1">
        <f t="shared" si="53"/>
        <v>344.2199999999998</v>
      </c>
      <c r="M72" s="1"/>
      <c r="N72" s="5">
        <f t="shared" si="54"/>
        <v>0.10970840677080172</v>
      </c>
      <c r="O72" s="14"/>
      <c r="P72" s="1">
        <f>SUM(OSRRefP22_13x_0)</f>
        <v>31030.050000000003</v>
      </c>
      <c r="Q72" s="1"/>
      <c r="R72" s="5">
        <f t="shared" si="55"/>
        <v>0.1379576135140802</v>
      </c>
      <c r="S72" s="1"/>
      <c r="T72" s="1">
        <f>SUM(OSRRefT22_13x_0)</f>
        <v>12094.46</v>
      </c>
      <c r="U72" s="1"/>
      <c r="V72" s="5">
        <f t="shared" si="56"/>
        <v>0.71320211086586416</v>
      </c>
      <c r="W72" s="1"/>
      <c r="X72" s="1">
        <f t="shared" si="57"/>
        <v>18935.590000000004</v>
      </c>
      <c r="Y72" s="1"/>
      <c r="Z72" s="5">
        <f t="shared" si="58"/>
        <v>1.5656416243470155</v>
      </c>
    </row>
    <row r="73" spans="1:26" s="24" customFormat="1" hidden="1" outlineLevel="2" x14ac:dyDescent="0.25">
      <c r="A73" s="28"/>
      <c r="B73" s="11" t="str">
        <f>CONCATENATE("          ", "6371", " - ", "COMPUTER SOFTWARE MAINTENANCE")</f>
        <v xml:space="preserve">          6371 - COMPUTER SOFTWARE MAINTENANCE</v>
      </c>
      <c r="C73" s="11"/>
      <c r="D73" s="7"/>
      <c r="E73" s="2"/>
      <c r="F73" s="6">
        <f t="shared" si="51"/>
        <v>0</v>
      </c>
      <c r="G73" s="2"/>
      <c r="H73" s="7"/>
      <c r="I73" s="2"/>
      <c r="J73" s="6">
        <f t="shared" si="52"/>
        <v>0</v>
      </c>
      <c r="K73" s="2"/>
      <c r="L73" s="7">
        <f t="shared" si="53"/>
        <v>0</v>
      </c>
      <c r="M73" s="2"/>
      <c r="N73" s="6">
        <f t="shared" si="54"/>
        <v>0</v>
      </c>
      <c r="O73" s="11"/>
      <c r="P73" s="7">
        <v>5177.72</v>
      </c>
      <c r="Q73" s="2"/>
      <c r="R73" s="6">
        <f t="shared" si="55"/>
        <v>2.3019811268242343E-2</v>
      </c>
      <c r="S73" s="2"/>
      <c r="T73" s="7"/>
      <c r="U73" s="2"/>
      <c r="V73" s="6">
        <f t="shared" si="56"/>
        <v>0</v>
      </c>
      <c r="W73" s="2"/>
      <c r="X73" s="7">
        <f t="shared" si="57"/>
        <v>5177.72</v>
      </c>
      <c r="Y73" s="2"/>
      <c r="Z73" s="6">
        <f t="shared" si="58"/>
        <v>0</v>
      </c>
    </row>
    <row r="74" spans="1:26" s="24" customFormat="1" hidden="1" outlineLevel="2" x14ac:dyDescent="0.25">
      <c r="A74" s="28"/>
      <c r="B74" s="11" t="str">
        <f>CONCATENATE("          ", "6373", " - ", "MAINTENANCE CONTRACTS")</f>
        <v xml:space="preserve">          6373 - MAINTENANCE CONTRACTS</v>
      </c>
      <c r="C74" s="11"/>
      <c r="D74" s="7">
        <v>1161.3499999999999</v>
      </c>
      <c r="E74" s="2"/>
      <c r="F74" s="6">
        <f t="shared" si="51"/>
        <v>7.9393184088138846E-3</v>
      </c>
      <c r="G74" s="2"/>
      <c r="H74" s="7">
        <v>1958.21</v>
      </c>
      <c r="I74" s="2"/>
      <c r="J74" s="6">
        <f t="shared" si="52"/>
        <v>0.18756585173350501</v>
      </c>
      <c r="K74" s="2"/>
      <c r="L74" s="7">
        <f t="shared" si="53"/>
        <v>-796.86000000000013</v>
      </c>
      <c r="M74" s="2"/>
      <c r="N74" s="6">
        <f t="shared" si="54"/>
        <v>-0.40693286215472302</v>
      </c>
      <c r="O74" s="11"/>
      <c r="P74" s="7">
        <v>1162.22</v>
      </c>
      <c r="Q74" s="2"/>
      <c r="R74" s="6">
        <f t="shared" si="55"/>
        <v>5.1671556306978001E-3</v>
      </c>
      <c r="S74" s="2"/>
      <c r="T74" s="7">
        <v>6352.86</v>
      </c>
      <c r="U74" s="2"/>
      <c r="V74" s="6">
        <f t="shared" si="56"/>
        <v>0.37462384943480848</v>
      </c>
      <c r="W74" s="2"/>
      <c r="X74" s="7">
        <f t="shared" si="57"/>
        <v>-5190.6399999999994</v>
      </c>
      <c r="Y74" s="2"/>
      <c r="Z74" s="6">
        <f t="shared" si="58"/>
        <v>-0.81705562534039777</v>
      </c>
    </row>
    <row r="75" spans="1:26" s="24" customFormat="1" hidden="1" outlineLevel="2" x14ac:dyDescent="0.25">
      <c r="A75" s="28"/>
      <c r="B75" s="11" t="str">
        <f>CONCATENATE("          ", "6375", " - ", "OUTSIDE REPAIRS &amp; MAINTENANCE")</f>
        <v xml:space="preserve">          6375 - OUTSIDE REPAIRS &amp; MAINTENANCE</v>
      </c>
      <c r="C75" s="11"/>
      <c r="D75" s="7">
        <v>2320.46</v>
      </c>
      <c r="E75" s="2"/>
      <c r="F75" s="6">
        <f t="shared" si="51"/>
        <v>1.5863323541495902E-2</v>
      </c>
      <c r="G75" s="2"/>
      <c r="H75" s="7">
        <v>1179.3800000000001</v>
      </c>
      <c r="I75" s="2"/>
      <c r="J75" s="6">
        <f t="shared" si="52"/>
        <v>0.11296613448887563</v>
      </c>
      <c r="K75" s="2"/>
      <c r="L75" s="7">
        <f t="shared" si="53"/>
        <v>1141.08</v>
      </c>
      <c r="M75" s="2"/>
      <c r="N75" s="6">
        <f t="shared" si="54"/>
        <v>0.96752530990859587</v>
      </c>
      <c r="O75" s="11"/>
      <c r="P75" s="7">
        <v>24690.11</v>
      </c>
      <c r="Q75" s="2"/>
      <c r="R75" s="6">
        <f t="shared" si="55"/>
        <v>0.10977064661514004</v>
      </c>
      <c r="S75" s="2"/>
      <c r="T75" s="7">
        <v>5741.6</v>
      </c>
      <c r="U75" s="2"/>
      <c r="V75" s="6">
        <f t="shared" si="56"/>
        <v>0.33857826143105574</v>
      </c>
      <c r="W75" s="2"/>
      <c r="X75" s="7">
        <f t="shared" si="57"/>
        <v>18948.510000000002</v>
      </c>
      <c r="Y75" s="2"/>
      <c r="Z75" s="6">
        <f t="shared" si="58"/>
        <v>3.3002142259997216</v>
      </c>
    </row>
    <row r="76" spans="1:26" s="27" customFormat="1" outlineLevel="1" collapsed="1" x14ac:dyDescent="0.25">
      <c r="A76" s="29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SUM(OSRRefD22_14x_0)</f>
        <v>8819.6799999999985</v>
      </c>
      <c r="E76" s="1"/>
      <c r="F76" s="5">
        <f t="shared" ref="F76:F80" si="59">IF(D$12=0,0,D76/D$12)</f>
        <v>6.0293837158348157E-2</v>
      </c>
      <c r="G76" s="1"/>
      <c r="H76" s="1">
        <f>SUM(OSRRefH22_14x_0)</f>
        <v>4172.68</v>
      </c>
      <c r="I76" s="1"/>
      <c r="J76" s="5">
        <f t="shared" ref="J76:J80" si="60">IF(H$12=0,0,H76/H$12)</f>
        <v>0.39967739834408039</v>
      </c>
      <c r="K76" s="1"/>
      <c r="L76" s="1">
        <f t="shared" ref="L76:L80" si="61">+D76-H76</f>
        <v>4646.9999999999982</v>
      </c>
      <c r="M76" s="1"/>
      <c r="N76" s="5">
        <f t="shared" ref="N76:N80" si="62">IF(H76=0,0,L76/H76)</f>
        <v>1.1136727474908208</v>
      </c>
      <c r="O76" s="14"/>
      <c r="P76" s="1">
        <f>SUM(OSRRefP22_14x_0)</f>
        <v>37350.42</v>
      </c>
      <c r="Q76" s="1"/>
      <c r="R76" s="5">
        <f t="shared" ref="R76:R80" si="63">IF(P$12=0,0,P76/P$12)</f>
        <v>0.16605757344730576</v>
      </c>
      <c r="S76" s="1"/>
      <c r="T76" s="1">
        <f>SUM(OSRRefT22_14x_0)</f>
        <v>8995.3000000000011</v>
      </c>
      <c r="U76" s="1"/>
      <c r="V76" s="5">
        <f t="shared" ref="V76:V80" si="64">IF(T$12=0,0,T76/T$12)</f>
        <v>0.53044674568949002</v>
      </c>
      <c r="W76" s="1"/>
      <c r="X76" s="1">
        <f t="shared" ref="X76:X80" si="65">+P76-T76</f>
        <v>28355.119999999995</v>
      </c>
      <c r="Y76" s="1"/>
      <c r="Z76" s="5">
        <f t="shared" ref="Z76:Z80" si="66">IF(T76=0,0,X76/T76)</f>
        <v>3.1522150456349416</v>
      </c>
    </row>
    <row r="77" spans="1:26" s="24" customFormat="1" hidden="1" outlineLevel="2" x14ac:dyDescent="0.25">
      <c r="A77" s="28"/>
      <c r="B77" s="11" t="str">
        <f>CONCATENATE("          ", "6282", " - ", "JANITORIAL/EXTERMINATOR EXPENS")</f>
        <v xml:space="preserve">          6282 - JANITORIAL/EXTERMINATOR EXPENS</v>
      </c>
      <c r="C77" s="11"/>
      <c r="D77" s="7">
        <v>1341.9</v>
      </c>
      <c r="E77" s="2"/>
      <c r="F77" s="6">
        <f t="shared" si="59"/>
        <v>9.1736094827462467E-3</v>
      </c>
      <c r="G77" s="2"/>
      <c r="H77" s="7">
        <v>49.36</v>
      </c>
      <c r="I77" s="2"/>
      <c r="J77" s="6">
        <f t="shared" si="60"/>
        <v>4.7279150048083743E-3</v>
      </c>
      <c r="K77" s="2"/>
      <c r="L77" s="7">
        <f t="shared" si="61"/>
        <v>1292.5400000000002</v>
      </c>
      <c r="M77" s="2"/>
      <c r="N77" s="6">
        <f t="shared" si="62"/>
        <v>26.18598055105349</v>
      </c>
      <c r="O77" s="11"/>
      <c r="P77" s="7">
        <v>3505.75</v>
      </c>
      <c r="Q77" s="2"/>
      <c r="R77" s="6">
        <f t="shared" si="63"/>
        <v>1.5586339808572226E-2</v>
      </c>
      <c r="S77" s="2"/>
      <c r="T77" s="7">
        <v>52.71</v>
      </c>
      <c r="U77" s="2"/>
      <c r="V77" s="6">
        <f t="shared" si="64"/>
        <v>3.1082729831459779E-3</v>
      </c>
      <c r="W77" s="2"/>
      <c r="X77" s="7">
        <f t="shared" si="65"/>
        <v>3453.04</v>
      </c>
      <c r="Y77" s="2"/>
      <c r="Z77" s="6">
        <f t="shared" si="66"/>
        <v>65.510149876683741</v>
      </c>
    </row>
    <row r="78" spans="1:26" s="24" customFormat="1" hidden="1" outlineLevel="2" x14ac:dyDescent="0.25">
      <c r="A78" s="28"/>
      <c r="B78" s="11" t="str">
        <f>CONCATENATE("          ", "6284", " - ", "TRASH REMOVAL EXPENSE")</f>
        <v xml:space="preserve">          6284 - TRASH REMOVAL EXPENSE</v>
      </c>
      <c r="C78" s="11"/>
      <c r="D78" s="7"/>
      <c r="E78" s="2"/>
      <c r="F78" s="6">
        <f t="shared" si="59"/>
        <v>0</v>
      </c>
      <c r="G78" s="2"/>
      <c r="H78" s="7">
        <v>761</v>
      </c>
      <c r="I78" s="2"/>
      <c r="J78" s="6">
        <f t="shared" si="60"/>
        <v>7.2891882468783892E-2</v>
      </c>
      <c r="K78" s="2"/>
      <c r="L78" s="7">
        <f t="shared" si="61"/>
        <v>-761</v>
      </c>
      <c r="M78" s="2"/>
      <c r="N78" s="6">
        <f t="shared" si="62"/>
        <v>-1</v>
      </c>
      <c r="O78" s="11"/>
      <c r="P78" s="7"/>
      <c r="Q78" s="2"/>
      <c r="R78" s="6">
        <f t="shared" si="63"/>
        <v>0</v>
      </c>
      <c r="S78" s="2"/>
      <c r="T78" s="7">
        <v>2761</v>
      </c>
      <c r="U78" s="2"/>
      <c r="V78" s="6">
        <f t="shared" si="64"/>
        <v>0.16281429911717027</v>
      </c>
      <c r="W78" s="2"/>
      <c r="X78" s="7">
        <f t="shared" si="65"/>
        <v>-2761</v>
      </c>
      <c r="Y78" s="2"/>
      <c r="Z78" s="6">
        <f t="shared" si="66"/>
        <v>-1</v>
      </c>
    </row>
    <row r="79" spans="1:26" s="24" customFormat="1" hidden="1" outlineLevel="2" x14ac:dyDescent="0.25">
      <c r="A79" s="28"/>
      <c r="B79" s="11" t="str">
        <f>CONCATENATE("          ", "6285", " - ", "JANITORIAL SERVICES")</f>
        <v xml:space="preserve">          6285 - JANITORIAL SERVICES</v>
      </c>
      <c r="C79" s="11"/>
      <c r="D79" s="7">
        <v>7218.07</v>
      </c>
      <c r="E79" s="2"/>
      <c r="F79" s="6">
        <f t="shared" si="59"/>
        <v>4.934477636122378E-2</v>
      </c>
      <c r="G79" s="2"/>
      <c r="H79" s="7">
        <v>3256.35</v>
      </c>
      <c r="I79" s="2"/>
      <c r="J79" s="6">
        <f t="shared" si="60"/>
        <v>0.31190733439845519</v>
      </c>
      <c r="K79" s="2"/>
      <c r="L79" s="7">
        <f t="shared" si="61"/>
        <v>3961.72</v>
      </c>
      <c r="M79" s="2"/>
      <c r="N79" s="6">
        <f t="shared" si="62"/>
        <v>1.2166136932455049</v>
      </c>
      <c r="O79" s="11"/>
      <c r="P79" s="7">
        <v>33213.54</v>
      </c>
      <c r="Q79" s="2"/>
      <c r="R79" s="6">
        <f t="shared" si="63"/>
        <v>0.14766527010927932</v>
      </c>
      <c r="S79" s="2"/>
      <c r="T79" s="7">
        <v>5607.33</v>
      </c>
      <c r="U79" s="2"/>
      <c r="V79" s="6">
        <f t="shared" si="64"/>
        <v>0.33066045051382914</v>
      </c>
      <c r="W79" s="2"/>
      <c r="X79" s="7">
        <f t="shared" si="65"/>
        <v>27606.21</v>
      </c>
      <c r="Y79" s="2"/>
      <c r="Z79" s="6">
        <f t="shared" si="66"/>
        <v>4.9232361926264367</v>
      </c>
    </row>
    <row r="80" spans="1:26" s="24" customFormat="1" hidden="1" outlineLevel="2" x14ac:dyDescent="0.25">
      <c r="A80" s="28"/>
      <c r="B80" s="11" t="str">
        <f>CONCATENATE("          ", "6286", " - ", "LAUNDRY EXPENSE")</f>
        <v xml:space="preserve">          6286 - LAUNDRY EXPENSE</v>
      </c>
      <c r="C80" s="11"/>
      <c r="D80" s="7">
        <v>259.70999999999998</v>
      </c>
      <c r="E80" s="2"/>
      <c r="F80" s="6">
        <f t="shared" si="59"/>
        <v>1.7754513143781409E-3</v>
      </c>
      <c r="G80" s="2"/>
      <c r="H80" s="7">
        <v>105.97</v>
      </c>
      <c r="I80" s="2"/>
      <c r="J80" s="6">
        <f t="shared" si="60"/>
        <v>1.015026647203289E-2</v>
      </c>
      <c r="K80" s="2"/>
      <c r="L80" s="7">
        <f t="shared" si="61"/>
        <v>153.73999999999998</v>
      </c>
      <c r="M80" s="2"/>
      <c r="N80" s="6">
        <f t="shared" si="62"/>
        <v>1.45078795885628</v>
      </c>
      <c r="O80" s="11"/>
      <c r="P80" s="7">
        <v>631.13</v>
      </c>
      <c r="Q80" s="2"/>
      <c r="R80" s="6">
        <f t="shared" si="63"/>
        <v>2.8059635294542364E-3</v>
      </c>
      <c r="S80" s="2"/>
      <c r="T80" s="7">
        <v>574.26</v>
      </c>
      <c r="U80" s="2"/>
      <c r="V80" s="6">
        <f t="shared" si="64"/>
        <v>3.3863723075344514E-2</v>
      </c>
      <c r="W80" s="2"/>
      <c r="X80" s="7">
        <f t="shared" si="65"/>
        <v>56.870000000000005</v>
      </c>
      <c r="Y80" s="2"/>
      <c r="Z80" s="6">
        <f t="shared" si="66"/>
        <v>9.9031797443666636E-2</v>
      </c>
    </row>
    <row r="81" spans="1:26" s="27" customFormat="1" outlineLevel="1" collapsed="1" x14ac:dyDescent="0.25">
      <c r="A81" s="29"/>
      <c r="B81" s="14" t="str">
        <f>CONCATENATE("     ","Subscriptions &amp; Dues                              ")</f>
        <v xml:space="preserve">     Subscriptions &amp; Dues                              </v>
      </c>
      <c r="C81" s="14"/>
      <c r="D81" s="1">
        <f>SUM(OSRRefD22_15x_0)</f>
        <v>408.93</v>
      </c>
      <c r="E81" s="1"/>
      <c r="F81" s="5">
        <f t="shared" ref="F81:F90" si="67">IF(D$12=0,0,D81/D$12)</f>
        <v>2.7955616109839945E-3</v>
      </c>
      <c r="G81" s="1"/>
      <c r="H81" s="1">
        <f>SUM(OSRRefH22_15x_0)</f>
        <v>131.34</v>
      </c>
      <c r="I81" s="1"/>
      <c r="J81" s="5">
        <f t="shared" ref="J81:J90" si="68">IF(H$12=0,0,H81/H$12)</f>
        <v>1.2580315168791165E-2</v>
      </c>
      <c r="K81" s="1"/>
      <c r="L81" s="1">
        <f t="shared" ref="L81:L90" si="69">+D81-H81</f>
        <v>277.59000000000003</v>
      </c>
      <c r="M81" s="1"/>
      <c r="N81" s="5">
        <f t="shared" ref="N81:N90" si="70">IF(H81=0,0,L81/H81)</f>
        <v>2.1135221562357245</v>
      </c>
      <c r="O81" s="14"/>
      <c r="P81" s="1">
        <f>SUM(OSRRefP22_15x_0)</f>
        <v>1133.19</v>
      </c>
      <c r="Q81" s="1"/>
      <c r="R81" s="5">
        <f t="shared" ref="R81:R90" si="71">IF(P$12=0,0,P81/P$12)</f>
        <v>5.0380901112960022E-3</v>
      </c>
      <c r="S81" s="1"/>
      <c r="T81" s="1">
        <f>SUM(OSRRefT22_15x_0)</f>
        <v>140.66</v>
      </c>
      <c r="U81" s="1"/>
      <c r="V81" s="5">
        <f t="shared" ref="V81:V90" si="72">IF(T$12=0,0,T81/T$12)</f>
        <v>8.2946248872948821E-3</v>
      </c>
      <c r="W81" s="1"/>
      <c r="X81" s="1">
        <f t="shared" ref="X81:X90" si="73">+P81-T81</f>
        <v>992.53000000000009</v>
      </c>
      <c r="Y81" s="1"/>
      <c r="Z81" s="5">
        <f t="shared" ref="Z81:Z90" si="74">IF(T81=0,0,X81/T81)</f>
        <v>7.0562348926489413</v>
      </c>
    </row>
    <row r="82" spans="1:26" s="24" customFormat="1" hidden="1" outlineLevel="2" x14ac:dyDescent="0.25">
      <c r="A82" s="28"/>
      <c r="B82" s="11" t="str">
        <f>CONCATENATE("          ", "6275", " - ", "SUBSCRIPTIONS")</f>
        <v xml:space="preserve">          6275 - SUBSCRIPTIONS</v>
      </c>
      <c r="C82" s="11"/>
      <c r="D82" s="7">
        <v>408.93</v>
      </c>
      <c r="E82" s="2"/>
      <c r="F82" s="6">
        <f t="shared" si="67"/>
        <v>2.7955616109839945E-3</v>
      </c>
      <c r="G82" s="2"/>
      <c r="H82" s="7">
        <v>131.34</v>
      </c>
      <c r="I82" s="2"/>
      <c r="J82" s="6">
        <f t="shared" si="68"/>
        <v>1.2580315168791165E-2</v>
      </c>
      <c r="K82" s="2"/>
      <c r="L82" s="7">
        <f t="shared" si="69"/>
        <v>277.59000000000003</v>
      </c>
      <c r="M82" s="2"/>
      <c r="N82" s="6">
        <f t="shared" si="70"/>
        <v>2.1135221562357245</v>
      </c>
      <c r="O82" s="11"/>
      <c r="P82" s="7">
        <v>1133.19</v>
      </c>
      <c r="Q82" s="2"/>
      <c r="R82" s="6">
        <f t="shared" si="71"/>
        <v>5.0380901112960022E-3</v>
      </c>
      <c r="S82" s="2"/>
      <c r="T82" s="7">
        <v>140.66</v>
      </c>
      <c r="U82" s="2"/>
      <c r="V82" s="6">
        <f t="shared" si="72"/>
        <v>8.2946248872948821E-3</v>
      </c>
      <c r="W82" s="2"/>
      <c r="X82" s="7">
        <f t="shared" si="73"/>
        <v>992.53000000000009</v>
      </c>
      <c r="Y82" s="2"/>
      <c r="Z82" s="6">
        <f t="shared" si="74"/>
        <v>7.0562348926489413</v>
      </c>
    </row>
    <row r="83" spans="1:26" s="27" customFormat="1" outlineLevel="1" collapsed="1" x14ac:dyDescent="0.25">
      <c r="A83" s="29"/>
      <c r="B83" s="14" t="str">
        <f>CONCATENATE("     ","Supplies                                          ")</f>
        <v xml:space="preserve">     Supplies                                          </v>
      </c>
      <c r="C83" s="14"/>
      <c r="D83" s="1">
        <f>SUM(OSRRefD22_16x_0)</f>
        <v>3247.72</v>
      </c>
      <c r="E83" s="1"/>
      <c r="F83" s="5">
        <f t="shared" si="67"/>
        <v>2.2202336231689868E-2</v>
      </c>
      <c r="G83" s="1"/>
      <c r="H83" s="1">
        <f>SUM(OSRRefH22_16x_0)</f>
        <v>861.48</v>
      </c>
      <c r="I83" s="1"/>
      <c r="J83" s="5">
        <f t="shared" si="68"/>
        <v>8.2516292916173392E-2</v>
      </c>
      <c r="K83" s="1"/>
      <c r="L83" s="1">
        <f t="shared" si="69"/>
        <v>2386.2399999999998</v>
      </c>
      <c r="M83" s="1"/>
      <c r="N83" s="5">
        <f t="shared" si="70"/>
        <v>2.7699308167339924</v>
      </c>
      <c r="O83" s="14"/>
      <c r="P83" s="1">
        <f>SUM(OSRRefP22_16x_0)</f>
        <v>8941.9500000000007</v>
      </c>
      <c r="Q83" s="1"/>
      <c r="R83" s="5">
        <f t="shared" si="71"/>
        <v>3.9755336590248144E-2</v>
      </c>
      <c r="S83" s="1"/>
      <c r="T83" s="1">
        <f>SUM(OSRRefT22_16x_0)</f>
        <v>-26982.35</v>
      </c>
      <c r="U83" s="1"/>
      <c r="V83" s="5">
        <f t="shared" si="72"/>
        <v>-1.5911308959739872</v>
      </c>
      <c r="W83" s="1"/>
      <c r="X83" s="1">
        <f t="shared" si="73"/>
        <v>35924.300000000003</v>
      </c>
      <c r="Y83" s="1"/>
      <c r="Z83" s="5">
        <f t="shared" si="74"/>
        <v>-1.3313999707216015</v>
      </c>
    </row>
    <row r="84" spans="1:26" s="24" customFormat="1" hidden="1" outlineLevel="2" x14ac:dyDescent="0.25">
      <c r="A84" s="28"/>
      <c r="B84" s="11" t="str">
        <f>CONCATENATE("          ", "6234", " - ", "EXPENDABLE SUPPLIES &amp; EQUIPMEN")</f>
        <v xml:space="preserve">          6234 - EXPENDABLE SUPPLIES &amp; EQUIPMEN</v>
      </c>
      <c r="C84" s="11"/>
      <c r="D84" s="7"/>
      <c r="E84" s="2"/>
      <c r="F84" s="6">
        <f t="shared" si="67"/>
        <v>0</v>
      </c>
      <c r="G84" s="2"/>
      <c r="H84" s="7">
        <v>316.67</v>
      </c>
      <c r="I84" s="2"/>
      <c r="J84" s="6">
        <f t="shared" si="68"/>
        <v>3.0332026834940597E-2</v>
      </c>
      <c r="K84" s="2"/>
      <c r="L84" s="7">
        <f t="shared" si="69"/>
        <v>-316.67</v>
      </c>
      <c r="M84" s="2"/>
      <c r="N84" s="6">
        <f t="shared" si="70"/>
        <v>-1</v>
      </c>
      <c r="O84" s="11"/>
      <c r="P84" s="7"/>
      <c r="Q84" s="2"/>
      <c r="R84" s="6">
        <f t="shared" si="71"/>
        <v>0</v>
      </c>
      <c r="S84" s="2"/>
      <c r="T84" s="7">
        <v>572.45000000000005</v>
      </c>
      <c r="U84" s="2"/>
      <c r="V84" s="6">
        <f t="shared" si="72"/>
        <v>3.3756988601819679E-2</v>
      </c>
      <c r="W84" s="2"/>
      <c r="X84" s="7">
        <f t="shared" si="73"/>
        <v>-572.45000000000005</v>
      </c>
      <c r="Y84" s="2"/>
      <c r="Z84" s="6">
        <f t="shared" si="74"/>
        <v>-1</v>
      </c>
    </row>
    <row r="85" spans="1:26" s="24" customFormat="1" hidden="1" outlineLevel="2" x14ac:dyDescent="0.25">
      <c r="A85" s="28"/>
      <c r="B85" s="11" t="str">
        <f>CONCATENATE("          ", "6235", " - ", "COVID-19 EXPENSES")</f>
        <v xml:space="preserve">          6235 - COVID-19 EXPENSES</v>
      </c>
      <c r="C85" s="11"/>
      <c r="D85" s="7">
        <v>193.5</v>
      </c>
      <c r="E85" s="2"/>
      <c r="F85" s="6">
        <f t="shared" si="67"/>
        <v>1.3228209515697134E-3</v>
      </c>
      <c r="G85" s="2"/>
      <c r="H85" s="7">
        <v>127.89</v>
      </c>
      <c r="I85" s="2"/>
      <c r="J85" s="6">
        <f t="shared" si="68"/>
        <v>1.2249859197020724E-2</v>
      </c>
      <c r="K85" s="2"/>
      <c r="L85" s="7">
        <f t="shared" si="69"/>
        <v>65.61</v>
      </c>
      <c r="M85" s="2"/>
      <c r="N85" s="6">
        <f t="shared" si="70"/>
        <v>0.51301900070372974</v>
      </c>
      <c r="O85" s="11"/>
      <c r="P85" s="7">
        <v>193.5</v>
      </c>
      <c r="Q85" s="2"/>
      <c r="R85" s="6">
        <f t="shared" si="71"/>
        <v>8.602885981483921E-4</v>
      </c>
      <c r="S85" s="2"/>
      <c r="T85" s="7">
        <v>1157.1300000000001</v>
      </c>
      <c r="U85" s="2"/>
      <c r="V85" s="6">
        <f t="shared" si="72"/>
        <v>6.8235172016461884E-2</v>
      </c>
      <c r="W85" s="2"/>
      <c r="X85" s="7">
        <f t="shared" si="73"/>
        <v>-963.63000000000011</v>
      </c>
      <c r="Y85" s="2"/>
      <c r="Z85" s="6">
        <f t="shared" si="74"/>
        <v>-0.83277591973244147</v>
      </c>
    </row>
    <row r="86" spans="1:26" s="24" customFormat="1" hidden="1" outlineLevel="2" x14ac:dyDescent="0.25">
      <c r="A86" s="28"/>
      <c r="B86" s="11" t="str">
        <f>CONCATENATE("          ", "6237", " - ", "JANITORIAL SUPPLIES")</f>
        <v xml:space="preserve">          6237 - JANITORIAL SUPPLIES</v>
      </c>
      <c r="C86" s="11"/>
      <c r="D86" s="7">
        <v>1716.54</v>
      </c>
      <c r="E86" s="2"/>
      <c r="F86" s="6">
        <f t="shared" si="67"/>
        <v>1.1734754915800909E-2</v>
      </c>
      <c r="G86" s="2"/>
      <c r="H86" s="7">
        <v>317.57</v>
      </c>
      <c r="I86" s="2"/>
      <c r="J86" s="6">
        <f t="shared" si="68"/>
        <v>3.0418232740619843E-2</v>
      </c>
      <c r="K86" s="2"/>
      <c r="L86" s="7">
        <f t="shared" si="69"/>
        <v>1398.97</v>
      </c>
      <c r="M86" s="2"/>
      <c r="N86" s="6">
        <f t="shared" si="70"/>
        <v>4.4052334918285734</v>
      </c>
      <c r="O86" s="11"/>
      <c r="P86" s="7">
        <v>4171.91</v>
      </c>
      <c r="Q86" s="2"/>
      <c r="R86" s="6">
        <f t="shared" si="71"/>
        <v>1.8548044472874722E-2</v>
      </c>
      <c r="S86" s="2"/>
      <c r="T86" s="7">
        <v>317.57</v>
      </c>
      <c r="U86" s="2"/>
      <c r="V86" s="6">
        <f t="shared" si="72"/>
        <v>1.8726887711205998E-2</v>
      </c>
      <c r="W86" s="2"/>
      <c r="X86" s="7">
        <f t="shared" si="73"/>
        <v>3854.3399999999997</v>
      </c>
      <c r="Y86" s="2"/>
      <c r="Z86" s="6">
        <f t="shared" si="74"/>
        <v>12.136977674213558</v>
      </c>
    </row>
    <row r="87" spans="1:26" s="24" customFormat="1" hidden="1" outlineLevel="2" x14ac:dyDescent="0.25">
      <c r="A87" s="28"/>
      <c r="B87" s="11" t="str">
        <f>CONCATENATE("          ", "6239", " - ", "KITCHEN SUPPLIES")</f>
        <v xml:space="preserve">          6239 - KITCHEN SUPPLIES</v>
      </c>
      <c r="C87" s="11"/>
      <c r="D87" s="7">
        <v>820.56</v>
      </c>
      <c r="E87" s="2"/>
      <c r="F87" s="6">
        <f t="shared" si="67"/>
        <v>5.6095811887340776E-3</v>
      </c>
      <c r="G87" s="2"/>
      <c r="H87" s="7"/>
      <c r="I87" s="2"/>
      <c r="J87" s="6">
        <f t="shared" si="68"/>
        <v>0</v>
      </c>
      <c r="K87" s="2"/>
      <c r="L87" s="7">
        <f t="shared" si="69"/>
        <v>820.56</v>
      </c>
      <c r="M87" s="2"/>
      <c r="N87" s="6">
        <f t="shared" si="70"/>
        <v>0</v>
      </c>
      <c r="O87" s="11"/>
      <c r="P87" s="7">
        <v>1071.19</v>
      </c>
      <c r="Q87" s="2"/>
      <c r="R87" s="6">
        <f t="shared" si="71"/>
        <v>4.7624420850158975E-3</v>
      </c>
      <c r="S87" s="2"/>
      <c r="T87" s="7"/>
      <c r="U87" s="2"/>
      <c r="V87" s="6">
        <f t="shared" si="72"/>
        <v>0</v>
      </c>
      <c r="W87" s="2"/>
      <c r="X87" s="7">
        <f t="shared" si="73"/>
        <v>1071.19</v>
      </c>
      <c r="Y87" s="2"/>
      <c r="Z87" s="6">
        <f t="shared" si="74"/>
        <v>0</v>
      </c>
    </row>
    <row r="88" spans="1:26" s="24" customFormat="1" hidden="1" outlineLevel="2" x14ac:dyDescent="0.25">
      <c r="A88" s="28"/>
      <c r="B88" s="11" t="str">
        <f>CONCATENATE("          ", "6241", " - ", "OFFICE EXPENSE")</f>
        <v xml:space="preserve">          6241 - OFFICE EXPENSE</v>
      </c>
      <c r="C88" s="11"/>
      <c r="D88" s="7">
        <v>194.6</v>
      </c>
      <c r="E88" s="2"/>
      <c r="F88" s="6">
        <f t="shared" si="67"/>
        <v>1.3303408639558979E-3</v>
      </c>
      <c r="G88" s="2"/>
      <c r="H88" s="7">
        <v>99.35</v>
      </c>
      <c r="I88" s="2"/>
      <c r="J88" s="6">
        <f t="shared" si="68"/>
        <v>9.5161741435922202E-3</v>
      </c>
      <c r="K88" s="2"/>
      <c r="L88" s="7">
        <f t="shared" si="69"/>
        <v>95.25</v>
      </c>
      <c r="M88" s="2"/>
      <c r="N88" s="6">
        <f t="shared" si="70"/>
        <v>0.95873175641670871</v>
      </c>
      <c r="O88" s="11"/>
      <c r="P88" s="7">
        <v>2196.6</v>
      </c>
      <c r="Q88" s="2"/>
      <c r="R88" s="6">
        <f t="shared" si="71"/>
        <v>9.7659428149496543E-3</v>
      </c>
      <c r="S88" s="2"/>
      <c r="T88" s="7">
        <v>-29109.78</v>
      </c>
      <c r="U88" s="2"/>
      <c r="V88" s="6">
        <f t="shared" si="72"/>
        <v>-1.716584001504897</v>
      </c>
      <c r="W88" s="2"/>
      <c r="X88" s="7">
        <f t="shared" si="73"/>
        <v>31306.379999999997</v>
      </c>
      <c r="Y88" s="2"/>
      <c r="Z88" s="6">
        <f t="shared" si="74"/>
        <v>-1.0754591755760434</v>
      </c>
    </row>
    <row r="89" spans="1:26" s="24" customFormat="1" hidden="1" outlineLevel="2" x14ac:dyDescent="0.25">
      <c r="A89" s="28"/>
      <c r="B89" s="11" t="str">
        <f>CONCATENATE("          ", "6243", " - ", "PAPER SUPPLIES")</f>
        <v xml:space="preserve">          6243 - PAPER SUPPLIES</v>
      </c>
      <c r="C89" s="11"/>
      <c r="D89" s="7">
        <v>50.56</v>
      </c>
      <c r="E89" s="2"/>
      <c r="F89" s="6">
        <f t="shared" si="67"/>
        <v>3.4564251840498561E-4</v>
      </c>
      <c r="G89" s="2"/>
      <c r="H89" s="7"/>
      <c r="I89" s="2"/>
      <c r="J89" s="6">
        <f t="shared" si="68"/>
        <v>0</v>
      </c>
      <c r="K89" s="2"/>
      <c r="L89" s="7">
        <f t="shared" si="69"/>
        <v>50.56</v>
      </c>
      <c r="M89" s="2"/>
      <c r="N89" s="6">
        <f t="shared" si="70"/>
        <v>0</v>
      </c>
      <c r="O89" s="11"/>
      <c r="P89" s="7">
        <v>536.79</v>
      </c>
      <c r="Q89" s="2"/>
      <c r="R89" s="6">
        <f t="shared" si="71"/>
        <v>2.386533935917702E-3</v>
      </c>
      <c r="S89" s="2"/>
      <c r="T89" s="7"/>
      <c r="U89" s="2"/>
      <c r="V89" s="6">
        <f t="shared" si="72"/>
        <v>0</v>
      </c>
      <c r="W89" s="2"/>
      <c r="X89" s="7">
        <f t="shared" si="73"/>
        <v>536.79</v>
      </c>
      <c r="Y89" s="2"/>
      <c r="Z89" s="6">
        <f t="shared" si="74"/>
        <v>0</v>
      </c>
    </row>
    <row r="90" spans="1:26" s="24" customFormat="1" hidden="1" outlineLevel="2" x14ac:dyDescent="0.25">
      <c r="A90" s="28"/>
      <c r="B90" s="11" t="str">
        <f>CONCATENATE("          ", "6247", " - ", "STORE SUPPLIES")</f>
        <v xml:space="preserve">          6247 - STORE SUPPLIES</v>
      </c>
      <c r="C90" s="11"/>
      <c r="D90" s="7">
        <v>271.95999999999998</v>
      </c>
      <c r="E90" s="2"/>
      <c r="F90" s="6">
        <f t="shared" si="67"/>
        <v>1.8591957932242854E-3</v>
      </c>
      <c r="G90" s="2"/>
      <c r="H90" s="7"/>
      <c r="I90" s="2"/>
      <c r="J90" s="6">
        <f t="shared" si="68"/>
        <v>0</v>
      </c>
      <c r="K90" s="2"/>
      <c r="L90" s="7">
        <f t="shared" si="69"/>
        <v>271.95999999999998</v>
      </c>
      <c r="M90" s="2"/>
      <c r="N90" s="6">
        <f t="shared" si="70"/>
        <v>0</v>
      </c>
      <c r="O90" s="11"/>
      <c r="P90" s="7">
        <v>771.96</v>
      </c>
      <c r="Q90" s="2"/>
      <c r="R90" s="6">
        <f t="shared" si="71"/>
        <v>3.4320846833417718E-3</v>
      </c>
      <c r="S90" s="2"/>
      <c r="T90" s="7">
        <v>80.28</v>
      </c>
      <c r="U90" s="2"/>
      <c r="V90" s="6">
        <f t="shared" si="72"/>
        <v>4.7340572014221037E-3</v>
      </c>
      <c r="W90" s="2"/>
      <c r="X90" s="7">
        <f t="shared" si="73"/>
        <v>691.68000000000006</v>
      </c>
      <c r="Y90" s="2"/>
      <c r="Z90" s="6">
        <f t="shared" si="74"/>
        <v>8.6158445440956655</v>
      </c>
    </row>
    <row r="91" spans="1:26" s="27" customFormat="1" outlineLevel="1" collapsed="1" x14ac:dyDescent="0.25">
      <c r="A91" s="29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SUM(OSRRefD22_17x_0)</f>
        <v>1022.78</v>
      </c>
      <c r="E91" s="1"/>
      <c r="F91" s="5">
        <f t="shared" ref="F91:F96" si="75">IF(D$12=0,0,D91/D$12)</f>
        <v>6.9920145366742714E-3</v>
      </c>
      <c r="G91" s="1"/>
      <c r="H91" s="1">
        <f>SUM(OSRRefH22_17x_0)</f>
        <v>967.5</v>
      </c>
      <c r="I91" s="1"/>
      <c r="J91" s="5">
        <f t="shared" ref="J91:J96" si="76">IF(H$12=0,0,H91/H$12)</f>
        <v>9.2671348605188456E-2</v>
      </c>
      <c r="K91" s="1"/>
      <c r="L91" s="1">
        <f t="shared" ref="L91:L96" si="77">+D91-H91</f>
        <v>55.279999999999973</v>
      </c>
      <c r="M91" s="1"/>
      <c r="N91" s="5">
        <f t="shared" ref="N91:N96" si="78">IF(H91=0,0,L91/H91)</f>
        <v>5.713695090439274E-2</v>
      </c>
      <c r="O91" s="14"/>
      <c r="P91" s="1">
        <f>SUM(OSRRefP22_17x_0)</f>
        <v>2538.2800000000002</v>
      </c>
      <c r="Q91" s="1"/>
      <c r="R91" s="5">
        <f t="shared" ref="R91:R96" si="79">IF(P$12=0,0,P91/P$12)</f>
        <v>1.1285030195907498E-2</v>
      </c>
      <c r="S91" s="1"/>
      <c r="T91" s="1">
        <f>SUM(OSRRefT22_17x_0)</f>
        <v>4177.6499999999996</v>
      </c>
      <c r="U91" s="1"/>
      <c r="V91" s="5">
        <f t="shared" ref="V91:V96" si="80">IF(T$12=0,0,T91/T$12)</f>
        <v>0.24635318968013267</v>
      </c>
      <c r="W91" s="1"/>
      <c r="X91" s="1">
        <f t="shared" ref="X91:X96" si="81">+P91-T91</f>
        <v>-1639.3699999999994</v>
      </c>
      <c r="Y91" s="1"/>
      <c r="Z91" s="5">
        <f t="shared" ref="Z91:Z96" si="82">IF(T91=0,0,X91/T91)</f>
        <v>-0.39241439565305841</v>
      </c>
    </row>
    <row r="92" spans="1:26" s="24" customFormat="1" hidden="1" outlineLevel="2" x14ac:dyDescent="0.25">
      <c r="A92" s="28"/>
      <c r="B92" s="11" t="str">
        <f>CONCATENATE("          ", "6309", " - ", "TELEPHONE")</f>
        <v xml:space="preserve">          6309 - TELEPHONE</v>
      </c>
      <c r="C92" s="11"/>
      <c r="D92" s="7">
        <v>1022.78</v>
      </c>
      <c r="E92" s="2"/>
      <c r="F92" s="6">
        <f t="shared" si="75"/>
        <v>6.9920145366742714E-3</v>
      </c>
      <c r="G92" s="2"/>
      <c r="H92" s="7">
        <v>967.5</v>
      </c>
      <c r="I92" s="2"/>
      <c r="J92" s="6">
        <f t="shared" si="76"/>
        <v>9.2671348605188456E-2</v>
      </c>
      <c r="K92" s="2"/>
      <c r="L92" s="7">
        <f t="shared" si="77"/>
        <v>55.279999999999973</v>
      </c>
      <c r="M92" s="2"/>
      <c r="N92" s="6">
        <f t="shared" si="78"/>
        <v>5.713695090439274E-2</v>
      </c>
      <c r="O92" s="11"/>
      <c r="P92" s="7">
        <v>2538.2800000000002</v>
      </c>
      <c r="Q92" s="2"/>
      <c r="R92" s="6">
        <f t="shared" si="79"/>
        <v>1.1285030195907498E-2</v>
      </c>
      <c r="S92" s="2"/>
      <c r="T92" s="7">
        <v>4177.6499999999996</v>
      </c>
      <c r="U92" s="2"/>
      <c r="V92" s="6">
        <f t="shared" si="80"/>
        <v>0.24635318968013267</v>
      </c>
      <c r="W92" s="2"/>
      <c r="X92" s="7">
        <f t="shared" si="81"/>
        <v>-1639.3699999999994</v>
      </c>
      <c r="Y92" s="2"/>
      <c r="Z92" s="6">
        <f t="shared" si="82"/>
        <v>-0.39241439565305841</v>
      </c>
    </row>
    <row r="93" spans="1:26" s="27" customFormat="1" outlineLevel="1" collapsed="1" x14ac:dyDescent="0.25">
      <c r="A93" s="29"/>
      <c r="B93" s="14" t="str">
        <f>CONCATENATE("     ","Travel                                            ")</f>
        <v xml:space="preserve">     Travel                                            </v>
      </c>
      <c r="C93" s="14"/>
      <c r="D93" s="1">
        <f>SUM(OSRRefD22_18x_0)</f>
        <v>0</v>
      </c>
      <c r="E93" s="1"/>
      <c r="F93" s="5">
        <f t="shared" si="75"/>
        <v>0</v>
      </c>
      <c r="G93" s="1"/>
      <c r="H93" s="1">
        <f>SUM(OSRRefH22_18x_0)</f>
        <v>152.52000000000001</v>
      </c>
      <c r="I93" s="1"/>
      <c r="J93" s="5">
        <f t="shared" si="76"/>
        <v>1.4609027482442733E-2</v>
      </c>
      <c r="K93" s="1"/>
      <c r="L93" s="1">
        <f t="shared" si="77"/>
        <v>-152.52000000000001</v>
      </c>
      <c r="M93" s="1"/>
      <c r="N93" s="5">
        <f t="shared" si="78"/>
        <v>-1</v>
      </c>
      <c r="O93" s="14"/>
      <c r="P93" s="1">
        <f>SUM(OSRRefP22_18x_0)</f>
        <v>0</v>
      </c>
      <c r="Q93" s="1"/>
      <c r="R93" s="5">
        <f t="shared" si="79"/>
        <v>0</v>
      </c>
      <c r="S93" s="1"/>
      <c r="T93" s="1">
        <f>SUM(OSRRefT22_18x_0)</f>
        <v>332.21</v>
      </c>
      <c r="U93" s="1"/>
      <c r="V93" s="5">
        <f t="shared" si="80"/>
        <v>1.9590198590987009E-2</v>
      </c>
      <c r="W93" s="1"/>
      <c r="X93" s="1">
        <f t="shared" si="81"/>
        <v>-332.21</v>
      </c>
      <c r="Y93" s="1"/>
      <c r="Z93" s="5">
        <f t="shared" si="82"/>
        <v>-1</v>
      </c>
    </row>
    <row r="94" spans="1:26" s="24" customFormat="1" hidden="1" outlineLevel="2" x14ac:dyDescent="0.25">
      <c r="A94" s="28"/>
      <c r="B94" s="11" t="str">
        <f>CONCATENATE("          ", "6298", " - ", "VEHICLE MILEAGE")</f>
        <v xml:space="preserve">          6298 - VEHICLE MILEAGE</v>
      </c>
      <c r="C94" s="11"/>
      <c r="D94" s="7"/>
      <c r="E94" s="2"/>
      <c r="F94" s="6">
        <f t="shared" si="75"/>
        <v>0</v>
      </c>
      <c r="G94" s="2"/>
      <c r="H94" s="7">
        <v>152.52000000000001</v>
      </c>
      <c r="I94" s="2"/>
      <c r="J94" s="6">
        <f t="shared" si="76"/>
        <v>1.4609027482442733E-2</v>
      </c>
      <c r="K94" s="2"/>
      <c r="L94" s="7">
        <f t="shared" si="77"/>
        <v>-152.52000000000001</v>
      </c>
      <c r="M94" s="2"/>
      <c r="N94" s="6">
        <f t="shared" si="78"/>
        <v>-1</v>
      </c>
      <c r="O94" s="11"/>
      <c r="P94" s="7"/>
      <c r="Q94" s="2"/>
      <c r="R94" s="6">
        <f t="shared" si="79"/>
        <v>0</v>
      </c>
      <c r="S94" s="2"/>
      <c r="T94" s="7">
        <v>332.21</v>
      </c>
      <c r="U94" s="2"/>
      <c r="V94" s="6">
        <f t="shared" si="80"/>
        <v>1.9590198590987009E-2</v>
      </c>
      <c r="W94" s="2"/>
      <c r="X94" s="7">
        <f t="shared" si="81"/>
        <v>-332.21</v>
      </c>
      <c r="Y94" s="2"/>
      <c r="Z94" s="6">
        <f t="shared" si="82"/>
        <v>-1</v>
      </c>
    </row>
    <row r="95" spans="1:26" s="27" customFormat="1" outlineLevel="1" collapsed="1" x14ac:dyDescent="0.25">
      <c r="A95" s="29"/>
      <c r="B95" s="14" t="str">
        <f>CONCATENATE("     ","Utilities                                         ")</f>
        <v xml:space="preserve">     Utilities                                         </v>
      </c>
      <c r="C95" s="14"/>
      <c r="D95" s="1">
        <f>SUM(OSRRefD22_19x_0)</f>
        <v>8250</v>
      </c>
      <c r="E95" s="1"/>
      <c r="F95" s="5">
        <f t="shared" si="75"/>
        <v>5.6399342896383133E-2</v>
      </c>
      <c r="G95" s="1"/>
      <c r="H95" s="1">
        <f>SUM(OSRRefH22_19x_0)</f>
        <v>2350</v>
      </c>
      <c r="I95" s="1"/>
      <c r="J95" s="5">
        <f t="shared" si="76"/>
        <v>0.22509319816247325</v>
      </c>
      <c r="K95" s="1"/>
      <c r="L95" s="1">
        <f t="shared" si="77"/>
        <v>5900</v>
      </c>
      <c r="M95" s="1"/>
      <c r="N95" s="5">
        <f t="shared" si="78"/>
        <v>2.5106382978723403</v>
      </c>
      <c r="O95" s="14"/>
      <c r="P95" s="1">
        <f>SUM(OSRRefP22_19x_0)</f>
        <v>24750</v>
      </c>
      <c r="Q95" s="1"/>
      <c r="R95" s="5">
        <f t="shared" si="79"/>
        <v>0.11003691371665481</v>
      </c>
      <c r="S95" s="1"/>
      <c r="T95" s="1">
        <f>SUM(OSRRefT22_19x_0)</f>
        <v>7050</v>
      </c>
      <c r="U95" s="1"/>
      <c r="V95" s="5">
        <f t="shared" si="80"/>
        <v>0.41573372284536414</v>
      </c>
      <c r="W95" s="1"/>
      <c r="X95" s="1">
        <f t="shared" si="81"/>
        <v>17700</v>
      </c>
      <c r="Y95" s="1"/>
      <c r="Z95" s="5">
        <f t="shared" si="82"/>
        <v>2.5106382978723403</v>
      </c>
    </row>
    <row r="96" spans="1:26" s="24" customFormat="1" hidden="1" outlineLevel="2" x14ac:dyDescent="0.25">
      <c r="A96" s="28"/>
      <c r="B96" s="11" t="str">
        <f>CONCATENATE("          ", "6274", " - ", "UTILITIES")</f>
        <v xml:space="preserve">          6274 - UTILITIES</v>
      </c>
      <c r="C96" s="11"/>
      <c r="D96" s="7">
        <v>8250</v>
      </c>
      <c r="E96" s="2"/>
      <c r="F96" s="6">
        <f t="shared" si="75"/>
        <v>5.6399342896383133E-2</v>
      </c>
      <c r="G96" s="2"/>
      <c r="H96" s="7">
        <v>2350</v>
      </c>
      <c r="I96" s="2"/>
      <c r="J96" s="6">
        <f t="shared" si="76"/>
        <v>0.22509319816247325</v>
      </c>
      <c r="K96" s="2"/>
      <c r="L96" s="7">
        <f t="shared" si="77"/>
        <v>5900</v>
      </c>
      <c r="M96" s="2"/>
      <c r="N96" s="6">
        <f t="shared" si="78"/>
        <v>2.5106382978723403</v>
      </c>
      <c r="O96" s="11"/>
      <c r="P96" s="7">
        <v>24750</v>
      </c>
      <c r="Q96" s="2"/>
      <c r="R96" s="6">
        <f t="shared" si="79"/>
        <v>0.11003691371665481</v>
      </c>
      <c r="S96" s="2"/>
      <c r="T96" s="7">
        <v>7050</v>
      </c>
      <c r="U96" s="2"/>
      <c r="V96" s="6">
        <f t="shared" si="80"/>
        <v>0.41573372284536414</v>
      </c>
      <c r="W96" s="2"/>
      <c r="X96" s="7">
        <f t="shared" si="81"/>
        <v>17700</v>
      </c>
      <c r="Y96" s="2"/>
      <c r="Z96" s="6">
        <f t="shared" si="82"/>
        <v>2.5106382978723403</v>
      </c>
    </row>
    <row r="97" spans="1:26" s="54" customFormat="1" x14ac:dyDescent="0.25">
      <c r="A97" s="37"/>
      <c r="B97" s="37"/>
      <c r="C97" s="37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7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25">
      <c r="A98" s="10"/>
      <c r="B98" s="26" t="s">
        <v>292</v>
      </c>
      <c r="C98" s="10"/>
      <c r="D98" s="4">
        <f>SUM(OSRRefD25x_0)</f>
        <v>2991.7999999999993</v>
      </c>
      <c r="E98" s="4"/>
      <c r="F98" s="12">
        <f t="shared" ref="F98:F101" si="83">IF(D$12=0,0,D98/D$12)</f>
        <v>2.0452794433624123E-2</v>
      </c>
      <c r="G98" s="4"/>
      <c r="H98" s="4">
        <f>SUM(OSRRefH25x_0)</f>
        <v>805.53</v>
      </c>
      <c r="I98" s="4"/>
      <c r="J98" s="12">
        <f t="shared" ref="J98:J101" si="84">IF(H$12=0,0,H98/H$12)</f>
        <v>7.7157159113113646E-2</v>
      </c>
      <c r="K98" s="4"/>
      <c r="L98" s="4">
        <f t="shared" ref="L98:L101" si="85">+D98-H98</f>
        <v>2186.2699999999995</v>
      </c>
      <c r="M98" s="4"/>
      <c r="N98" s="12">
        <f t="shared" ref="N98:N101" si="86">IF(H98=0,0,L98/H98)</f>
        <v>2.7140764465631317</v>
      </c>
      <c r="O98" s="10"/>
      <c r="P98" s="4">
        <f>SUM(OSRRefP25x_0)</f>
        <v>17194.05</v>
      </c>
      <c r="Q98" s="4"/>
      <c r="R98" s="12">
        <f t="shared" ref="R98:R101" si="87">IF(P$12=0,0,P98/P$12)</f>
        <v>7.6443644294539329E-2</v>
      </c>
      <c r="S98" s="4"/>
      <c r="T98" s="4">
        <f>SUM(OSRRefT25x_0)</f>
        <v>3619.9199999999996</v>
      </c>
      <c r="U98" s="4"/>
      <c r="V98" s="12">
        <f t="shared" ref="V98:V101" si="88">IF(T$12=0,0,T98/T$12)</f>
        <v>0.21346422950388516</v>
      </c>
      <c r="W98" s="4"/>
      <c r="X98" s="4">
        <f t="shared" ref="X98:X101" si="89">+P98-T98</f>
        <v>13574.13</v>
      </c>
      <c r="Y98" s="4"/>
      <c r="Z98" s="12">
        <f t="shared" ref="Z98:Z101" si="90">IF(T98=0,0,X98/T98)</f>
        <v>3.7498425379566402</v>
      </c>
    </row>
    <row r="99" spans="1:26" s="24" customFormat="1" hidden="1" outlineLevel="1" x14ac:dyDescent="0.25">
      <c r="A99" s="44"/>
      <c r="B99" s="11" t="str">
        <f>CONCATENATE("          ", "9150", " - ", "MISC. INCOME")</f>
        <v xml:space="preserve">          9150 - MISC. INCOME</v>
      </c>
      <c r="C99" s="11"/>
      <c r="D99" s="2">
        <f>--14735.43</f>
        <v>14735.43</v>
      </c>
      <c r="E99" s="2"/>
      <c r="F99" s="19">
        <f t="shared" si="83"/>
        <v>0.1007355841570486</v>
      </c>
      <c r="G99" s="2"/>
      <c r="H99" s="2">
        <f>--180.85</f>
        <v>180.85</v>
      </c>
      <c r="I99" s="2"/>
      <c r="J99" s="19">
        <f t="shared" si="84"/>
        <v>1.7322597824546079E-2</v>
      </c>
      <c r="K99" s="2"/>
      <c r="L99" s="2">
        <f t="shared" si="85"/>
        <v>14554.58</v>
      </c>
      <c r="M99" s="2"/>
      <c r="N99" s="19">
        <f t="shared" si="86"/>
        <v>80.478739286701682</v>
      </c>
      <c r="O99" s="11"/>
      <c r="P99" s="2">
        <f>--17194.05</f>
        <v>17194.05</v>
      </c>
      <c r="Q99" s="2"/>
      <c r="R99" s="19">
        <f t="shared" si="87"/>
        <v>7.6443644294539329E-2</v>
      </c>
      <c r="S99" s="2"/>
      <c r="T99" s="2">
        <f>--804.68</f>
        <v>804.68</v>
      </c>
      <c r="U99" s="2"/>
      <c r="V99" s="19">
        <f t="shared" si="88"/>
        <v>4.7451434340313133E-2</v>
      </c>
      <c r="W99" s="2"/>
      <c r="X99" s="2">
        <f t="shared" si="89"/>
        <v>16389.37</v>
      </c>
      <c r="Y99" s="2"/>
      <c r="Z99" s="19">
        <f t="shared" si="90"/>
        <v>20.36756226077447</v>
      </c>
    </row>
    <row r="100" spans="1:26" s="24" customFormat="1" hidden="1" outlineLevel="1" x14ac:dyDescent="0.25">
      <c r="A100" s="44"/>
      <c r="B100" s="11" t="str">
        <f>CONCATENATE("          ", "9160", " - ", "MISC. INCOME")</f>
        <v xml:space="preserve">          9160 - MISC. INCOME</v>
      </c>
      <c r="C100" s="11"/>
      <c r="D100" s="2">
        <f>-11238.12</f>
        <v>-11238.12</v>
      </c>
      <c r="E100" s="2"/>
      <c r="F100" s="19">
        <f t="shared" si="83"/>
        <v>-7.6826979804933485E-2</v>
      </c>
      <c r="G100" s="2"/>
      <c r="H100" s="2">
        <f>0</f>
        <v>0</v>
      </c>
      <c r="I100" s="2"/>
      <c r="J100" s="19">
        <f t="shared" si="84"/>
        <v>0</v>
      </c>
      <c r="K100" s="2"/>
      <c r="L100" s="2">
        <f t="shared" si="85"/>
        <v>-11238.12</v>
      </c>
      <c r="M100" s="2"/>
      <c r="N100" s="19">
        <f t="shared" si="86"/>
        <v>0</v>
      </c>
      <c r="O100" s="11"/>
      <c r="P100" s="2">
        <f t="shared" ref="P100:P101" si="91">0</f>
        <v>0</v>
      </c>
      <c r="Q100" s="2"/>
      <c r="R100" s="19">
        <f t="shared" si="87"/>
        <v>0</v>
      </c>
      <c r="S100" s="2"/>
      <c r="T100" s="2">
        <f>--1990.06</f>
        <v>1990.06</v>
      </c>
      <c r="U100" s="2"/>
      <c r="V100" s="19">
        <f t="shared" si="88"/>
        <v>0.11735248971427593</v>
      </c>
      <c r="W100" s="2"/>
      <c r="X100" s="2">
        <f t="shared" si="89"/>
        <v>-1990.06</v>
      </c>
      <c r="Y100" s="2"/>
      <c r="Z100" s="19">
        <f t="shared" si="90"/>
        <v>-1</v>
      </c>
    </row>
    <row r="101" spans="1:26" s="24" customFormat="1" hidden="1" outlineLevel="1" x14ac:dyDescent="0.25">
      <c r="A101" s="44"/>
      <c r="B101" s="11" t="str">
        <f>CONCATENATE("          ", "9165", " - ", "OTHER INCOME")</f>
        <v xml:space="preserve">          9165 - OTHER INCOME</v>
      </c>
      <c r="C101" s="11"/>
      <c r="D101" s="2">
        <f>-505.51</f>
        <v>-505.51</v>
      </c>
      <c r="E101" s="2"/>
      <c r="F101" s="19">
        <f t="shared" si="83"/>
        <v>-3.4558099184909862E-3</v>
      </c>
      <c r="G101" s="2"/>
      <c r="H101" s="2">
        <f>--624.68</f>
        <v>624.67999999999995</v>
      </c>
      <c r="I101" s="2"/>
      <c r="J101" s="19">
        <f t="shared" si="84"/>
        <v>5.9834561288567567E-2</v>
      </c>
      <c r="K101" s="2"/>
      <c r="L101" s="2">
        <f t="shared" si="85"/>
        <v>-1130.19</v>
      </c>
      <c r="M101" s="2"/>
      <c r="N101" s="19">
        <f t="shared" si="86"/>
        <v>-1.8092303259268747</v>
      </c>
      <c r="O101" s="11"/>
      <c r="P101" s="2">
        <f t="shared" si="91"/>
        <v>0</v>
      </c>
      <c r="Q101" s="2"/>
      <c r="R101" s="19">
        <f t="shared" si="87"/>
        <v>0</v>
      </c>
      <c r="S101" s="2"/>
      <c r="T101" s="2">
        <f>--825.18</f>
        <v>825.18</v>
      </c>
      <c r="U101" s="2"/>
      <c r="V101" s="19">
        <f t="shared" si="88"/>
        <v>4.8660305449296108E-2</v>
      </c>
      <c r="W101" s="2"/>
      <c r="X101" s="2">
        <f t="shared" si="89"/>
        <v>-825.18</v>
      </c>
      <c r="Y101" s="2"/>
      <c r="Z101" s="19">
        <f t="shared" si="90"/>
        <v>-1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5" t="s">
        <v>276</v>
      </c>
      <c r="C103" s="25"/>
      <c r="D103" s="21">
        <f>+D30-D32+D98</f>
        <v>-102250.19000000002</v>
      </c>
      <c r="E103" s="13"/>
      <c r="F103" s="22">
        <f>IF(D$12=0,0,D103/D$12)</f>
        <v>-0.69901133660973658</v>
      </c>
      <c r="G103" s="13"/>
      <c r="H103" s="21">
        <f>+H30-H32+H98</f>
        <v>-140585.01</v>
      </c>
      <c r="I103" s="13"/>
      <c r="J103" s="22">
        <f>IF(H$12=0,0,H103/H$12)</f>
        <v>-13.465842346639697</v>
      </c>
      <c r="K103" s="16"/>
      <c r="L103" s="21">
        <f>+D103-H103</f>
        <v>38334.819999999992</v>
      </c>
      <c r="M103" s="16"/>
      <c r="N103" s="22">
        <f>IF(H103=0,0,L103/H103)</f>
        <v>-0.27268070756619067</v>
      </c>
      <c r="O103" s="26"/>
      <c r="P103" s="21">
        <f>+P30-P32+P98</f>
        <v>-419026.21999999991</v>
      </c>
      <c r="Q103" s="13"/>
      <c r="R103" s="22">
        <f>IF(P$12=0,0,P103/P$12)</f>
        <v>-1.862963717784081</v>
      </c>
      <c r="S103" s="13"/>
      <c r="T103" s="21">
        <f>+T30-T32+T98</f>
        <v>-410444.52000000008</v>
      </c>
      <c r="U103" s="13"/>
      <c r="V103" s="22">
        <f>IF(T$12=0,0,T103/T$12)</f>
        <v>-24.203635222848021</v>
      </c>
      <c r="W103" s="16"/>
      <c r="X103" s="21">
        <f>+P103-T103</f>
        <v>-8581.699999999837</v>
      </c>
      <c r="Y103" s="16"/>
      <c r="Z103" s="22">
        <f>IF(T103=0,0,X103/T103)</f>
        <v>2.0908306925378942E-2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1"/>
      <c r="B105" s="10" t="s">
        <v>127</v>
      </c>
      <c r="C105" s="10"/>
      <c r="D105" s="4">
        <v>16087.84</v>
      </c>
      <c r="E105" s="4"/>
      <c r="F105" s="12">
        <f>IF(D$12=0,0,D105/D$12)</f>
        <v>0.10998104298450284</v>
      </c>
      <c r="G105" s="4"/>
      <c r="H105" s="4">
        <v>2041.11</v>
      </c>
      <c r="I105" s="4"/>
      <c r="J105" s="12">
        <f>IF(H$12=0,0,H105/H$12)</f>
        <v>0.19550637348995989</v>
      </c>
      <c r="K105" s="4"/>
      <c r="L105" s="4">
        <f>+D105-H105</f>
        <v>14046.73</v>
      </c>
      <c r="M105" s="4"/>
      <c r="N105" s="12">
        <f>IF(H105=0,0,L105/H105)</f>
        <v>6.8819073935260713</v>
      </c>
      <c r="O105" s="10"/>
      <c r="P105" s="4">
        <v>27840.18</v>
      </c>
      <c r="Q105" s="4"/>
      <c r="R105" s="12">
        <f>IF(P$12=0,0,P105/P$12)</f>
        <v>0.12377565594004601</v>
      </c>
      <c r="S105" s="4"/>
      <c r="T105" s="4">
        <v>3141.56</v>
      </c>
      <c r="U105" s="4"/>
      <c r="V105" s="12">
        <f>IF(T$12=0,0,T105/T$12)</f>
        <v>0.18525566444568539</v>
      </c>
      <c r="W105" s="4"/>
      <c r="X105" s="4">
        <f>+P105-T105</f>
        <v>24698.62</v>
      </c>
      <c r="Y105" s="4"/>
      <c r="Z105" s="12">
        <f>IF(T105=0,0,X105/T105)</f>
        <v>7.8618966373394112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5" t="s">
        <v>125</v>
      </c>
      <c r="C107" s="25"/>
      <c r="D107" s="33">
        <f>+D103-D105</f>
        <v>-118338.03000000001</v>
      </c>
      <c r="E107" s="13"/>
      <c r="F107" s="35">
        <f>IF(D$12=0,0,D107/D$12)</f>
        <v>-0.80899237959423931</v>
      </c>
      <c r="G107" s="13"/>
      <c r="H107" s="33">
        <f>+H103-H105</f>
        <v>-142626.12</v>
      </c>
      <c r="I107" s="13"/>
      <c r="J107" s="35">
        <f>IF(H$12=0,0,H107/H$12)</f>
        <v>-13.661348720129654</v>
      </c>
      <c r="K107" s="16"/>
      <c r="L107" s="33">
        <f>D107-H107</f>
        <v>24288.089999999982</v>
      </c>
      <c r="M107" s="16"/>
      <c r="N107" s="35">
        <f>IF(H107=0,0,L107/H107)</f>
        <v>-0.17029201944216096</v>
      </c>
      <c r="O107" s="26"/>
      <c r="P107" s="33">
        <f>+P103-P105</f>
        <v>-446866.39999999991</v>
      </c>
      <c r="Q107" s="13"/>
      <c r="R107" s="35">
        <f>IF(P$12=0,0,P107/P$12)</f>
        <v>-1.986739373724127</v>
      </c>
      <c r="S107" s="13"/>
      <c r="T107" s="33">
        <f>+T103-T105</f>
        <v>-413586.08000000007</v>
      </c>
      <c r="U107" s="13"/>
      <c r="V107" s="35">
        <f>IF(T$12=0,0,T107/T$12)</f>
        <v>-24.388890887293705</v>
      </c>
      <c r="W107" s="16"/>
      <c r="X107" s="33">
        <f>P107-T107</f>
        <v>-33280.319999999832</v>
      </c>
      <c r="Y107" s="16"/>
      <c r="Z107" s="35">
        <f>IF(T107=0,0,X107/T107)</f>
        <v>8.0467698526023479E-2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5" t="s">
        <v>293</v>
      </c>
      <c r="C110" s="25"/>
      <c r="D110" s="31">
        <f>SUM(D107:D109)</f>
        <v>-118338.03000000001</v>
      </c>
      <c r="E110" s="13"/>
      <c r="F110" s="32">
        <f>IF(D$12=0,0,D110/D$12)</f>
        <v>-0.80899237959423931</v>
      </c>
      <c r="G110" s="13"/>
      <c r="H110" s="31">
        <f>SUM(H107:H109)</f>
        <v>-142626.12</v>
      </c>
      <c r="I110" s="13"/>
      <c r="J110" s="32">
        <f>IF(H$12=0,0,H110/H$12)</f>
        <v>-13.661348720129654</v>
      </c>
      <c r="K110" s="16"/>
      <c r="L110" s="31">
        <f>+D110-H110</f>
        <v>24288.089999999982</v>
      </c>
      <c r="M110" s="16"/>
      <c r="N110" s="32">
        <f>IF(H110=0,0,L110/H110)</f>
        <v>-0.17029201944216096</v>
      </c>
      <c r="O110" s="26"/>
      <c r="P110" s="31">
        <f>SUM(P107:P109)</f>
        <v>-446866.39999999991</v>
      </c>
      <c r="Q110" s="13"/>
      <c r="R110" s="32">
        <f>IF(P$12=0,0,P110/P$12)</f>
        <v>-1.986739373724127</v>
      </c>
      <c r="S110" s="13"/>
      <c r="T110" s="31">
        <f>SUM(T107:T109)</f>
        <v>-413586.08000000007</v>
      </c>
      <c r="U110" s="13"/>
      <c r="V110" s="32">
        <f>IF(T$12=0,0,T110/T$12)</f>
        <v>-24.388890887293705</v>
      </c>
      <c r="W110" s="16"/>
      <c r="X110" s="31">
        <f>+P110-T110</f>
        <v>-33280.319999999832</v>
      </c>
      <c r="Y110" s="16"/>
      <c r="Z110" s="32">
        <f>IF(T110=0,0,X110/T110)</f>
        <v>8.0467698526023479E-2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  <row r="112" spans="1:26" x14ac:dyDescent="0.25">
      <c r="A112" s="9"/>
      <c r="B112" s="58">
        <v>44481.985597569445</v>
      </c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3" t="s">
        <v>56</v>
      </c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52"/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</sheetPr>
  <dimension ref="A2:Z10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105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130165.4</v>
      </c>
      <c r="E12" s="4"/>
      <c r="F12" s="12"/>
      <c r="G12" s="4"/>
      <c r="H12" s="4">
        <f>SUM(OSRRefH13x_0)</f>
        <v>8677.65</v>
      </c>
      <c r="I12" s="4"/>
      <c r="J12" s="12"/>
      <c r="K12" s="4"/>
      <c r="L12" s="4">
        <f t="shared" ref="L12:L15" si="0">+D12-H12</f>
        <v>121487.75</v>
      </c>
      <c r="M12" s="4"/>
      <c r="N12" s="12">
        <f t="shared" ref="N12:N15" si="1">IF(H12=0,0,L12/H12)</f>
        <v>14.000074905072227</v>
      </c>
      <c r="O12" s="10"/>
      <c r="P12" s="4">
        <f>SUM(OSRRefP13x_0)</f>
        <v>202146.48</v>
      </c>
      <c r="Q12" s="4"/>
      <c r="R12" s="12"/>
      <c r="S12" s="4"/>
      <c r="T12" s="4">
        <f>SUM(OSRRefT13x_0)</f>
        <v>14371.5</v>
      </c>
      <c r="U12" s="4"/>
      <c r="V12" s="12"/>
      <c r="W12" s="4"/>
      <c r="X12" s="4">
        <f t="shared" ref="X12:X15" si="2">+P12-T12</f>
        <v>187774.98</v>
      </c>
      <c r="Y12" s="4"/>
      <c r="Z12" s="12">
        <f t="shared" ref="Z12:Z15" si="3">IF(T12=0,0,X12/T12)</f>
        <v>13.065788539818392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--33705.87</f>
        <v>33705.870000000003</v>
      </c>
      <c r="E13" s="2"/>
      <c r="F13" s="19"/>
      <c r="G13" s="2"/>
      <c r="H13" s="2">
        <f>--4141.96</f>
        <v>4141.96</v>
      </c>
      <c r="I13" s="2"/>
      <c r="J13" s="19"/>
      <c r="K13" s="2"/>
      <c r="L13" s="2">
        <f t="shared" si="0"/>
        <v>29563.910000000003</v>
      </c>
      <c r="M13" s="2"/>
      <c r="N13" s="19">
        <f t="shared" si="1"/>
        <v>7.1376618798829545</v>
      </c>
      <c r="O13" s="11"/>
      <c r="P13" s="2">
        <f>--64976.31</f>
        <v>64976.31</v>
      </c>
      <c r="Q13" s="2"/>
      <c r="R13" s="19"/>
      <c r="S13" s="2"/>
      <c r="T13" s="2">
        <f>--6652.68</f>
        <v>6652.68</v>
      </c>
      <c r="U13" s="2"/>
      <c r="V13" s="19"/>
      <c r="W13" s="2"/>
      <c r="X13" s="2">
        <f t="shared" si="2"/>
        <v>58323.63</v>
      </c>
      <c r="Y13" s="2"/>
      <c r="Z13" s="19">
        <f t="shared" si="3"/>
        <v>8.7669375349483207</v>
      </c>
    </row>
    <row r="14" spans="1:26" s="24" customFormat="1" hidden="1" outlineLevel="1" x14ac:dyDescent="0.25">
      <c r="A14" s="44"/>
      <c r="B14" s="11" t="str">
        <f>CONCATENATE("          ", "4058", " - ", "TAXABLE SALES-FOOD")</f>
        <v xml:space="preserve">          4058 - TAXABLE SALES-FOOD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--974.91</f>
        <v>974.91</v>
      </c>
      <c r="U14" s="2"/>
      <c r="V14" s="19"/>
      <c r="W14" s="2"/>
      <c r="X14" s="2">
        <f t="shared" si="2"/>
        <v>-974.91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--96459.53</f>
        <v>96459.53</v>
      </c>
      <c r="E15" s="2"/>
      <c r="F15" s="19"/>
      <c r="G15" s="2"/>
      <c r="H15" s="2">
        <f>--4535.69</f>
        <v>4535.6899999999996</v>
      </c>
      <c r="I15" s="2"/>
      <c r="J15" s="19"/>
      <c r="K15" s="2"/>
      <c r="L15" s="2">
        <f t="shared" si="0"/>
        <v>91923.839999999997</v>
      </c>
      <c r="M15" s="2"/>
      <c r="N15" s="19">
        <f t="shared" si="1"/>
        <v>20.266781900879469</v>
      </c>
      <c r="O15" s="11"/>
      <c r="P15" s="2">
        <f>--137170.17</f>
        <v>137170.17000000001</v>
      </c>
      <c r="Q15" s="2"/>
      <c r="R15" s="19"/>
      <c r="S15" s="2"/>
      <c r="T15" s="2">
        <f>--6743.91</f>
        <v>6743.91</v>
      </c>
      <c r="U15" s="2"/>
      <c r="V15" s="19"/>
      <c r="W15" s="2"/>
      <c r="X15" s="2">
        <f t="shared" si="2"/>
        <v>130426.26000000001</v>
      </c>
      <c r="Y15" s="2"/>
      <c r="Z15" s="19">
        <f t="shared" si="3"/>
        <v>19.339857738315015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256</v>
      </c>
      <c r="C17" s="10"/>
      <c r="D17" s="4">
        <f>SUM(OSRRefD16x_0)</f>
        <v>51153.03</v>
      </c>
      <c r="E17" s="4"/>
      <c r="F17" s="12">
        <f t="shared" ref="F17:F19" si="4">IF(D$12=0,0,D17/D$12)</f>
        <v>0.39298484850812887</v>
      </c>
      <c r="G17" s="4"/>
      <c r="H17" s="4">
        <f>SUM(OSRRefH16x_0)</f>
        <v>1770.46</v>
      </c>
      <c r="I17" s="4"/>
      <c r="J17" s="12">
        <f t="shared" ref="J17:J19" si="5">IF(H$12=0,0,H17/H$12)</f>
        <v>0.20402528334284054</v>
      </c>
      <c r="K17" s="4"/>
      <c r="L17" s="4">
        <f t="shared" ref="L17:L19" si="6">+D17-H17</f>
        <v>49382.57</v>
      </c>
      <c r="M17" s="4"/>
      <c r="N17" s="12">
        <f t="shared" ref="N17:N19" si="7">IF(H17=0,0,L17/H17)</f>
        <v>27.892508161720681</v>
      </c>
      <c r="O17" s="10"/>
      <c r="P17" s="4">
        <f>SUM(OSRRefP16x_0)</f>
        <v>70349.460000000006</v>
      </c>
      <c r="Q17" s="4"/>
      <c r="R17" s="12">
        <f t="shared" ref="R17:R19" si="8">IF(P$12=0,0,P17/P$12)</f>
        <v>0.34801229286802327</v>
      </c>
      <c r="S17" s="4"/>
      <c r="T17" s="4">
        <f>SUM(OSRRefT16x_0)</f>
        <v>6016.4</v>
      </c>
      <c r="U17" s="4"/>
      <c r="V17" s="12">
        <f t="shared" ref="V17:V19" si="9">IF(T$12=0,0,T17/T$12)</f>
        <v>0.41863410221619174</v>
      </c>
      <c r="W17" s="4"/>
      <c r="X17" s="4">
        <f t="shared" ref="X17:X19" si="10">+P17-T17</f>
        <v>64333.060000000005</v>
      </c>
      <c r="Y17" s="4"/>
      <c r="Z17" s="12">
        <f t="shared" ref="Z17:Z19" si="11">IF(T17=0,0,X17/T17)</f>
        <v>10.692949271989896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39127.43</v>
      </c>
      <c r="E18" s="2"/>
      <c r="F18" s="19">
        <f t="shared" si="4"/>
        <v>0.3005977779041128</v>
      </c>
      <c r="G18" s="2"/>
      <c r="H18" s="2">
        <v>1229.4000000000001</v>
      </c>
      <c r="I18" s="2"/>
      <c r="J18" s="19">
        <f t="shared" si="5"/>
        <v>0.14167430122210509</v>
      </c>
      <c r="K18" s="2"/>
      <c r="L18" s="2">
        <f t="shared" si="6"/>
        <v>37898.03</v>
      </c>
      <c r="M18" s="2"/>
      <c r="N18" s="19">
        <f t="shared" si="7"/>
        <v>30.826443793720511</v>
      </c>
      <c r="O18" s="11"/>
      <c r="P18" s="2">
        <v>84498.86</v>
      </c>
      <c r="Q18" s="2"/>
      <c r="R18" s="19">
        <f t="shared" si="8"/>
        <v>0.41800807018751945</v>
      </c>
      <c r="S18" s="2"/>
      <c r="T18" s="2">
        <v>5430.34</v>
      </c>
      <c r="U18" s="2"/>
      <c r="V18" s="19">
        <f t="shared" si="9"/>
        <v>0.3778547820338865</v>
      </c>
      <c r="W18" s="2"/>
      <c r="X18" s="2">
        <f t="shared" si="10"/>
        <v>79068.52</v>
      </c>
      <c r="Y18" s="2"/>
      <c r="Z18" s="19">
        <f t="shared" si="11"/>
        <v>14.560510023313459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12025.6</v>
      </c>
      <c r="E19" s="2"/>
      <c r="F19" s="19">
        <f t="shared" si="4"/>
        <v>9.238707060401613E-2</v>
      </c>
      <c r="G19" s="2"/>
      <c r="H19" s="2">
        <v>541.05999999999995</v>
      </c>
      <c r="I19" s="2"/>
      <c r="J19" s="19">
        <f t="shared" si="5"/>
        <v>6.2350982120735449E-2</v>
      </c>
      <c r="K19" s="2"/>
      <c r="L19" s="2">
        <f t="shared" si="6"/>
        <v>11484.54</v>
      </c>
      <c r="M19" s="2"/>
      <c r="N19" s="19">
        <f t="shared" si="7"/>
        <v>21.226000813218501</v>
      </c>
      <c r="O19" s="11"/>
      <c r="P19" s="2">
        <v>-14149.4</v>
      </c>
      <c r="Q19" s="2"/>
      <c r="R19" s="19">
        <f t="shared" si="8"/>
        <v>-6.999577731949623E-2</v>
      </c>
      <c r="S19" s="2"/>
      <c r="T19" s="2">
        <v>586.05999999999995</v>
      </c>
      <c r="U19" s="2"/>
      <c r="V19" s="19">
        <f t="shared" si="9"/>
        <v>4.0779320182305255E-2</v>
      </c>
      <c r="W19" s="2"/>
      <c r="X19" s="2">
        <f t="shared" si="10"/>
        <v>-14735.46</v>
      </c>
      <c r="Y19" s="2"/>
      <c r="Z19" s="19">
        <f t="shared" si="11"/>
        <v>-25.143261782070095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107</v>
      </c>
      <c r="C21" s="25"/>
      <c r="D21" s="21">
        <f>D12-D17</f>
        <v>79012.37</v>
      </c>
      <c r="E21" s="13"/>
      <c r="F21" s="22">
        <f>IF(D$12=0,0,D21/D$12)</f>
        <v>0.60701515149187113</v>
      </c>
      <c r="G21" s="13"/>
      <c r="H21" s="21">
        <f>H12-H17</f>
        <v>6907.19</v>
      </c>
      <c r="I21" s="13"/>
      <c r="J21" s="22">
        <f>IF(H$12=0,0,H21/H$12)</f>
        <v>0.79597471665715946</v>
      </c>
      <c r="K21" s="16"/>
      <c r="L21" s="21">
        <f>+D21-H21</f>
        <v>72105.179999999993</v>
      </c>
      <c r="M21" s="16"/>
      <c r="N21" s="22">
        <f>IF(H21=0,0,L21/H21)</f>
        <v>10.439148191956496</v>
      </c>
      <c r="O21" s="26"/>
      <c r="P21" s="21">
        <f>P12-P17</f>
        <v>131797.02000000002</v>
      </c>
      <c r="Q21" s="13"/>
      <c r="R21" s="22">
        <f>IF(P$12=0,0,P21/P$12)</f>
        <v>0.65198770713197685</v>
      </c>
      <c r="S21" s="13"/>
      <c r="T21" s="21">
        <f>T12-T17</f>
        <v>8355.1</v>
      </c>
      <c r="U21" s="13"/>
      <c r="V21" s="22">
        <f>IF(T$12=0,0,T21/T$12)</f>
        <v>0.58136589778380821</v>
      </c>
      <c r="W21" s="16"/>
      <c r="X21" s="21">
        <f>+P21-T21</f>
        <v>123441.92000000001</v>
      </c>
      <c r="Y21" s="16"/>
      <c r="Z21" s="22">
        <f>IF(T21=0,0,X21/T21)</f>
        <v>14.7744395638592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294</v>
      </c>
      <c r="C23" s="10"/>
      <c r="D23" s="20">
        <f>SUM(OSRRefD22x_0)</f>
        <v>173920.12</v>
      </c>
      <c r="E23" s="20"/>
      <c r="F23" s="30">
        <f t="shared" ref="F23:F32" si="12">IF(D$12=0,0,D23/D$12)</f>
        <v>1.3361470867066056</v>
      </c>
      <c r="G23" s="20"/>
      <c r="H23" s="20">
        <f>SUM(OSRRefH22x_0)</f>
        <v>117820.05000000002</v>
      </c>
      <c r="I23" s="20"/>
      <c r="J23" s="30">
        <f t="shared" ref="J23:J32" si="13">IF(H$12=0,0,H23/H$12)</f>
        <v>13.577414392145341</v>
      </c>
      <c r="K23" s="4"/>
      <c r="L23" s="20">
        <f t="shared" ref="L23:L32" si="14">+D23-H23</f>
        <v>56100.069999999978</v>
      </c>
      <c r="M23" s="4"/>
      <c r="N23" s="30">
        <f t="shared" ref="N23:N32" si="15">IF(H23=0,0,L23/H23)</f>
        <v>0.47615045147239343</v>
      </c>
      <c r="O23" s="10"/>
      <c r="P23" s="20">
        <f>SUM(OSRRefP22x_0)</f>
        <v>521090.31000000006</v>
      </c>
      <c r="Q23" s="20"/>
      <c r="R23" s="30">
        <f t="shared" ref="R23:R32" si="16">IF(P$12=0,0,P23/P$12)</f>
        <v>2.5777857225117153</v>
      </c>
      <c r="S23" s="20"/>
      <c r="T23" s="20">
        <f>SUM(OSRRefT22x_0)</f>
        <v>329781.76000000001</v>
      </c>
      <c r="U23" s="20"/>
      <c r="V23" s="30">
        <f t="shared" ref="V23:V32" si="17">IF(T$12=0,0,T23/T$12)</f>
        <v>22.946926903941829</v>
      </c>
      <c r="W23" s="4"/>
      <c r="X23" s="20">
        <f t="shared" ref="X23:X32" si="18">+P23-T23</f>
        <v>191308.55000000005</v>
      </c>
      <c r="Y23" s="4"/>
      <c r="Z23" s="30">
        <f t="shared" ref="Z23:Z32" si="19">IF(T23=0,0,X23/T23)</f>
        <v>0.58010652256813733</v>
      </c>
    </row>
    <row r="24" spans="1:26" s="27" customFormat="1" outlineLevel="1" collapsed="1" x14ac:dyDescent="0.25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28558.69</v>
      </c>
      <c r="E24" s="1"/>
      <c r="F24" s="5">
        <f t="shared" si="12"/>
        <v>0.21940308253959961</v>
      </c>
      <c r="G24" s="1"/>
      <c r="H24" s="1">
        <f>SUM(OSRRefH22_0x_0)</f>
        <v>21540.73</v>
      </c>
      <c r="I24" s="1"/>
      <c r="J24" s="5">
        <f t="shared" si="13"/>
        <v>2.4823229791475803</v>
      </c>
      <c r="K24" s="1"/>
      <c r="L24" s="1">
        <f t="shared" si="14"/>
        <v>7017.9599999999991</v>
      </c>
      <c r="M24" s="1"/>
      <c r="N24" s="5">
        <f t="shared" si="15"/>
        <v>0.32579954346951095</v>
      </c>
      <c r="O24" s="14"/>
      <c r="P24" s="1">
        <f>SUM(OSRRefP22_0x_0)</f>
        <v>81808.61</v>
      </c>
      <c r="Q24" s="1"/>
      <c r="R24" s="5">
        <f t="shared" si="16"/>
        <v>0.40469965146066356</v>
      </c>
      <c r="S24" s="1"/>
      <c r="T24" s="1">
        <f>SUM(OSRRefT22_0x_0)</f>
        <v>68831.38</v>
      </c>
      <c r="U24" s="1"/>
      <c r="V24" s="5">
        <f t="shared" si="17"/>
        <v>4.7894360366002164</v>
      </c>
      <c r="W24" s="1"/>
      <c r="X24" s="1">
        <f t="shared" si="18"/>
        <v>12977.229999999996</v>
      </c>
      <c r="Y24" s="1"/>
      <c r="Z24" s="5">
        <f t="shared" si="19"/>
        <v>0.1885365366784742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7">
        <v>4304.3900000000003</v>
      </c>
      <c r="E25" s="2"/>
      <c r="F25" s="6">
        <f t="shared" si="12"/>
        <v>3.3068618849556031E-2</v>
      </c>
      <c r="G25" s="2"/>
      <c r="H25" s="7">
        <v>2366.3200000000002</v>
      </c>
      <c r="I25" s="2"/>
      <c r="J25" s="6">
        <f t="shared" si="13"/>
        <v>0.27269133924507216</v>
      </c>
      <c r="K25" s="2"/>
      <c r="L25" s="7">
        <f t="shared" si="14"/>
        <v>1938.0700000000002</v>
      </c>
      <c r="M25" s="2"/>
      <c r="N25" s="6">
        <f t="shared" si="15"/>
        <v>0.81902278643632309</v>
      </c>
      <c r="O25" s="11"/>
      <c r="P25" s="7">
        <v>11759.55</v>
      </c>
      <c r="Q25" s="2"/>
      <c r="R25" s="6">
        <f t="shared" si="16"/>
        <v>5.8173409697759755E-2</v>
      </c>
      <c r="S25" s="2"/>
      <c r="T25" s="7">
        <v>7420.38</v>
      </c>
      <c r="U25" s="2"/>
      <c r="V25" s="6">
        <f t="shared" si="17"/>
        <v>0.51632606199770381</v>
      </c>
      <c r="W25" s="2"/>
      <c r="X25" s="7">
        <f t="shared" si="18"/>
        <v>4339.1699999999992</v>
      </c>
      <c r="Y25" s="2"/>
      <c r="Z25" s="6">
        <f t="shared" si="19"/>
        <v>0.5847638530641287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7">
        <v>2167.5</v>
      </c>
      <c r="E26" s="2"/>
      <c r="F26" s="6">
        <f t="shared" si="12"/>
        <v>1.665189059458197E-2</v>
      </c>
      <c r="G26" s="2"/>
      <c r="H26" s="7">
        <v>824.72</v>
      </c>
      <c r="I26" s="2"/>
      <c r="J26" s="6">
        <f t="shared" si="13"/>
        <v>9.5039555640063847E-2</v>
      </c>
      <c r="K26" s="2"/>
      <c r="L26" s="7">
        <f t="shared" si="14"/>
        <v>1342.78</v>
      </c>
      <c r="M26" s="2"/>
      <c r="N26" s="6">
        <f t="shared" si="15"/>
        <v>1.6281647104471819</v>
      </c>
      <c r="O26" s="11"/>
      <c r="P26" s="7">
        <v>4866.3500000000004</v>
      </c>
      <c r="Q26" s="2"/>
      <c r="R26" s="6">
        <f t="shared" si="16"/>
        <v>2.4073384804919679E-2</v>
      </c>
      <c r="S26" s="2"/>
      <c r="T26" s="7">
        <v>2007.49</v>
      </c>
      <c r="U26" s="2"/>
      <c r="V26" s="6">
        <f t="shared" si="17"/>
        <v>0.13968548864071254</v>
      </c>
      <c r="W26" s="2"/>
      <c r="X26" s="7">
        <f t="shared" si="18"/>
        <v>2858.8600000000006</v>
      </c>
      <c r="Y26" s="2"/>
      <c r="Z26" s="6">
        <f t="shared" si="19"/>
        <v>1.4240967576426287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7">
        <v>12646.1</v>
      </c>
      <c r="E27" s="2"/>
      <c r="F27" s="6">
        <f t="shared" si="12"/>
        <v>9.7154082421288618E-2</v>
      </c>
      <c r="G27" s="2"/>
      <c r="H27" s="7">
        <v>10662.18</v>
      </c>
      <c r="I27" s="2"/>
      <c r="J27" s="6">
        <f t="shared" si="13"/>
        <v>1.2286944045911048</v>
      </c>
      <c r="K27" s="2"/>
      <c r="L27" s="7">
        <f t="shared" si="14"/>
        <v>1983.92</v>
      </c>
      <c r="M27" s="2"/>
      <c r="N27" s="6">
        <f t="shared" si="15"/>
        <v>0.18607076601595546</v>
      </c>
      <c r="O27" s="11"/>
      <c r="P27" s="7">
        <v>37149.78</v>
      </c>
      <c r="Q27" s="2"/>
      <c r="R27" s="6">
        <f t="shared" si="16"/>
        <v>0.18377653669754723</v>
      </c>
      <c r="S27" s="2"/>
      <c r="T27" s="7">
        <v>34942.879999999997</v>
      </c>
      <c r="U27" s="2"/>
      <c r="V27" s="6">
        <f t="shared" si="17"/>
        <v>2.431401036774171</v>
      </c>
      <c r="W27" s="2"/>
      <c r="X27" s="7">
        <f t="shared" si="18"/>
        <v>2206.9000000000015</v>
      </c>
      <c r="Y27" s="2"/>
      <c r="Z27" s="6">
        <f t="shared" si="19"/>
        <v>6.3157358523395948E-2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7">
        <v>186.82</v>
      </c>
      <c r="E28" s="2"/>
      <c r="F28" s="6">
        <f t="shared" si="12"/>
        <v>1.4352508423897594E-3</v>
      </c>
      <c r="G28" s="2"/>
      <c r="H28" s="7">
        <v>91.3</v>
      </c>
      <c r="I28" s="2"/>
      <c r="J28" s="6">
        <f t="shared" si="13"/>
        <v>1.0521281683405069E-2</v>
      </c>
      <c r="K28" s="2"/>
      <c r="L28" s="7">
        <f t="shared" si="14"/>
        <v>95.52</v>
      </c>
      <c r="M28" s="2"/>
      <c r="N28" s="6">
        <f t="shared" si="15"/>
        <v>1.0462212486308873</v>
      </c>
      <c r="O28" s="11"/>
      <c r="P28" s="7">
        <v>439.49</v>
      </c>
      <c r="Q28" s="2"/>
      <c r="R28" s="6">
        <f t="shared" si="16"/>
        <v>2.174116511947178E-3</v>
      </c>
      <c r="S28" s="2"/>
      <c r="T28" s="7">
        <v>257.93</v>
      </c>
      <c r="U28" s="2"/>
      <c r="V28" s="6">
        <f t="shared" si="17"/>
        <v>1.794732630553526E-2</v>
      </c>
      <c r="W28" s="2"/>
      <c r="X28" s="7">
        <f t="shared" si="18"/>
        <v>181.56</v>
      </c>
      <c r="Y28" s="2"/>
      <c r="Z28" s="6">
        <f t="shared" si="19"/>
        <v>0.70391191408521692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7">
        <v>3152.51</v>
      </c>
      <c r="E29" s="2"/>
      <c r="F29" s="6">
        <f t="shared" si="12"/>
        <v>2.4219262569008356E-2</v>
      </c>
      <c r="G29" s="2"/>
      <c r="H29" s="7">
        <v>2748.35</v>
      </c>
      <c r="I29" s="2"/>
      <c r="J29" s="6">
        <f t="shared" si="13"/>
        <v>0.31671593115647667</v>
      </c>
      <c r="K29" s="2"/>
      <c r="L29" s="7">
        <f t="shared" si="14"/>
        <v>404.16000000000031</v>
      </c>
      <c r="M29" s="2"/>
      <c r="N29" s="6">
        <f t="shared" si="15"/>
        <v>0.14705550603089138</v>
      </c>
      <c r="O29" s="11"/>
      <c r="P29" s="7">
        <v>9294.0499999999993</v>
      </c>
      <c r="Q29" s="2"/>
      <c r="R29" s="6">
        <f t="shared" si="16"/>
        <v>4.5976808500449766E-2</v>
      </c>
      <c r="S29" s="2"/>
      <c r="T29" s="7">
        <v>10145.5</v>
      </c>
      <c r="U29" s="2"/>
      <c r="V29" s="6">
        <f t="shared" si="17"/>
        <v>0.70594579549803427</v>
      </c>
      <c r="W29" s="2"/>
      <c r="X29" s="7">
        <f t="shared" si="18"/>
        <v>-851.45000000000073</v>
      </c>
      <c r="Y29" s="2"/>
      <c r="Z29" s="6">
        <f t="shared" si="19"/>
        <v>-8.39239071509537E-2</v>
      </c>
    </row>
    <row r="30" spans="1:26" s="24" customFormat="1" hidden="1" outlineLevel="2" x14ac:dyDescent="0.25">
      <c r="A30" s="28"/>
      <c r="B30" s="11" t="str">
        <f>CONCATENATE("          ", "6118", " - ", "VACATION")</f>
        <v xml:space="preserve">          6118 - VACATION</v>
      </c>
      <c r="C30" s="11"/>
      <c r="D30" s="7">
        <v>2982.74</v>
      </c>
      <c r="E30" s="2"/>
      <c r="F30" s="6">
        <f t="shared" si="12"/>
        <v>2.2914998916762824E-2</v>
      </c>
      <c r="G30" s="2"/>
      <c r="H30" s="7">
        <v>2561.8200000000002</v>
      </c>
      <c r="I30" s="2"/>
      <c r="J30" s="6">
        <f t="shared" si="13"/>
        <v>0.29522048019913227</v>
      </c>
      <c r="K30" s="2"/>
      <c r="L30" s="7">
        <f t="shared" si="14"/>
        <v>420.91999999999962</v>
      </c>
      <c r="M30" s="2"/>
      <c r="N30" s="6">
        <f t="shared" si="15"/>
        <v>0.1643050643683005</v>
      </c>
      <c r="O30" s="11"/>
      <c r="P30" s="7">
        <v>8911.18</v>
      </c>
      <c r="Q30" s="2"/>
      <c r="R30" s="6">
        <f t="shared" si="16"/>
        <v>4.408278590851545E-2</v>
      </c>
      <c r="S30" s="2"/>
      <c r="T30" s="7">
        <v>7683.97</v>
      </c>
      <c r="U30" s="2"/>
      <c r="V30" s="6">
        <f t="shared" si="17"/>
        <v>0.53466722332393979</v>
      </c>
      <c r="W30" s="2"/>
      <c r="X30" s="7">
        <f t="shared" si="18"/>
        <v>1227.21</v>
      </c>
      <c r="Y30" s="2"/>
      <c r="Z30" s="6">
        <f t="shared" si="19"/>
        <v>0.15971041011352205</v>
      </c>
    </row>
    <row r="31" spans="1:26" s="24" customFormat="1" hidden="1" outlineLevel="2" x14ac:dyDescent="0.25">
      <c r="A31" s="28"/>
      <c r="B31" s="11" t="str">
        <f>CONCATENATE("          ", "6119", " - ", "SICK LEAVE")</f>
        <v xml:space="preserve">          6119 - SICK LEAVE</v>
      </c>
      <c r="C31" s="11"/>
      <c r="D31" s="7">
        <v>1922.83</v>
      </c>
      <c r="E31" s="2"/>
      <c r="F31" s="6">
        <f t="shared" si="12"/>
        <v>1.4772205209679378E-2</v>
      </c>
      <c r="G31" s="2"/>
      <c r="H31" s="7">
        <v>1497.32</v>
      </c>
      <c r="I31" s="2"/>
      <c r="J31" s="6">
        <f t="shared" si="13"/>
        <v>0.17254901960784313</v>
      </c>
      <c r="K31" s="2"/>
      <c r="L31" s="7">
        <f t="shared" si="14"/>
        <v>425.51</v>
      </c>
      <c r="M31" s="2"/>
      <c r="N31" s="6">
        <f t="shared" si="15"/>
        <v>0.2841810701787193</v>
      </c>
      <c r="O31" s="11"/>
      <c r="P31" s="7">
        <v>5733.27</v>
      </c>
      <c r="Q31" s="2"/>
      <c r="R31" s="6">
        <f t="shared" si="16"/>
        <v>2.8361958120665769E-2</v>
      </c>
      <c r="S31" s="2"/>
      <c r="T31" s="7">
        <v>4571.21</v>
      </c>
      <c r="U31" s="2"/>
      <c r="V31" s="6">
        <f t="shared" si="17"/>
        <v>0.31807466165675119</v>
      </c>
      <c r="W31" s="2"/>
      <c r="X31" s="7">
        <f t="shared" si="18"/>
        <v>1162.0600000000004</v>
      </c>
      <c r="Y31" s="2"/>
      <c r="Z31" s="6">
        <f t="shared" si="19"/>
        <v>0.25421277954852223</v>
      </c>
    </row>
    <row r="32" spans="1:26" s="24" customFormat="1" hidden="1" outlineLevel="2" x14ac:dyDescent="0.25">
      <c r="A32" s="28"/>
      <c r="B32" s="11" t="str">
        <f>CONCATENATE("          ", "6156", " - ", "EMPLOYEE MEALS")</f>
        <v xml:space="preserve">          6156 - EMPLOYEE MEALS</v>
      </c>
      <c r="C32" s="11"/>
      <c r="D32" s="7">
        <v>1195.8</v>
      </c>
      <c r="E32" s="2"/>
      <c r="F32" s="6">
        <f t="shared" si="12"/>
        <v>9.1867731363326974E-3</v>
      </c>
      <c r="G32" s="2"/>
      <c r="H32" s="7">
        <v>788.72</v>
      </c>
      <c r="I32" s="2"/>
      <c r="J32" s="6">
        <f t="shared" si="13"/>
        <v>9.0890967024482447E-2</v>
      </c>
      <c r="K32" s="2"/>
      <c r="L32" s="7">
        <f t="shared" si="14"/>
        <v>407.07999999999993</v>
      </c>
      <c r="M32" s="2"/>
      <c r="N32" s="6">
        <f t="shared" si="15"/>
        <v>0.5161273962876558</v>
      </c>
      <c r="O32" s="11"/>
      <c r="P32" s="7">
        <v>3654.94</v>
      </c>
      <c r="Q32" s="2"/>
      <c r="R32" s="6">
        <f t="shared" si="16"/>
        <v>1.8080651218858719E-2</v>
      </c>
      <c r="S32" s="2"/>
      <c r="T32" s="7">
        <v>1802.02</v>
      </c>
      <c r="U32" s="2"/>
      <c r="V32" s="6">
        <f t="shared" si="17"/>
        <v>0.12538844240336777</v>
      </c>
      <c r="W32" s="2"/>
      <c r="X32" s="7">
        <f t="shared" si="18"/>
        <v>1852.92</v>
      </c>
      <c r="Y32" s="2"/>
      <c r="Z32" s="6">
        <f t="shared" si="19"/>
        <v>1.0282460793997847</v>
      </c>
    </row>
    <row r="33" spans="1:26" s="27" customFormat="1" outlineLevel="1" collapsed="1" x14ac:dyDescent="0.25">
      <c r="A33" s="29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68785.56</v>
      </c>
      <c r="E33" s="1"/>
      <c r="F33" s="5">
        <f t="shared" ref="F33:F38" si="20">IF(D$12=0,0,D33/D$12)</f>
        <v>0.52844734468606869</v>
      </c>
      <c r="G33" s="1"/>
      <c r="H33" s="1">
        <f>SUM(OSRRefH22_1x_0)</f>
        <v>30018.61</v>
      </c>
      <c r="I33" s="1"/>
      <c r="J33" s="5">
        <f t="shared" ref="J33:J38" si="21">IF(H$12=0,0,H33/H$12)</f>
        <v>3.4593017694882833</v>
      </c>
      <c r="K33" s="1"/>
      <c r="L33" s="1">
        <f t="shared" ref="L33:L38" si="22">+D33-H33</f>
        <v>38766.949999999997</v>
      </c>
      <c r="M33" s="1"/>
      <c r="N33" s="5">
        <f t="shared" ref="N33:N38" si="23">IF(H33=0,0,L33/H33)</f>
        <v>1.2914305492492821</v>
      </c>
      <c r="O33" s="14"/>
      <c r="P33" s="1">
        <f>SUM(OSRRefP22_1x_0)</f>
        <v>180298.22</v>
      </c>
      <c r="Q33" s="1"/>
      <c r="R33" s="5">
        <f t="shared" ref="R33:R38" si="24">IF(P$12=0,0,P33/P$12)</f>
        <v>0.89191867204415332</v>
      </c>
      <c r="S33" s="1"/>
      <c r="T33" s="1">
        <f>SUM(OSRRefT22_1x_0)</f>
        <v>97187.880000000019</v>
      </c>
      <c r="U33" s="1"/>
      <c r="V33" s="5">
        <f t="shared" ref="V33:V38" si="25">IF(T$12=0,0,T33/T$12)</f>
        <v>6.7625425320947725</v>
      </c>
      <c r="W33" s="1"/>
      <c r="X33" s="1">
        <f t="shared" ref="X33:X38" si="26">+P33-T33</f>
        <v>83110.339999999982</v>
      </c>
      <c r="Y33" s="1"/>
      <c r="Z33" s="5">
        <f t="shared" ref="Z33:Z38" si="27">IF(T33=0,0,X33/T33)</f>
        <v>0.85515128018020314</v>
      </c>
    </row>
    <row r="34" spans="1:26" s="24" customFormat="1" hidden="1" outlineLevel="2" x14ac:dyDescent="0.25">
      <c r="A34" s="28"/>
      <c r="B34" s="11" t="str">
        <f>CONCATENATE("          ", "6001", " - ", "ADMINISTRATIVE SALARIES")</f>
        <v xml:space="preserve">          6001 - ADMINISTRATIVE SALARIES</v>
      </c>
      <c r="C34" s="11"/>
      <c r="D34" s="7">
        <v>10515.82</v>
      </c>
      <c r="E34" s="2"/>
      <c r="F34" s="6">
        <f t="shared" si="20"/>
        <v>8.0788135710411518E-2</v>
      </c>
      <c r="G34" s="2"/>
      <c r="H34" s="7">
        <v>11069.28</v>
      </c>
      <c r="I34" s="2"/>
      <c r="J34" s="6">
        <f t="shared" si="21"/>
        <v>1.2756080275189712</v>
      </c>
      <c r="K34" s="2"/>
      <c r="L34" s="7">
        <f t="shared" si="22"/>
        <v>-553.46000000000095</v>
      </c>
      <c r="M34" s="2"/>
      <c r="N34" s="6">
        <f t="shared" si="23"/>
        <v>-4.9999638639550259E-2</v>
      </c>
      <c r="O34" s="11"/>
      <c r="P34" s="7">
        <v>33207.519999999997</v>
      </c>
      <c r="Q34" s="2"/>
      <c r="R34" s="6">
        <f t="shared" si="24"/>
        <v>0.16427453992768015</v>
      </c>
      <c r="S34" s="2"/>
      <c r="T34" s="7">
        <v>33345.89</v>
      </c>
      <c r="U34" s="2"/>
      <c r="V34" s="6">
        <f t="shared" si="25"/>
        <v>2.3202790244581291</v>
      </c>
      <c r="W34" s="2"/>
      <c r="X34" s="7">
        <f t="shared" si="26"/>
        <v>-138.37000000000262</v>
      </c>
      <c r="Y34" s="2"/>
      <c r="Z34" s="6">
        <f t="shared" si="27"/>
        <v>-4.1495368694613524E-3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7">
        <v>19952.88</v>
      </c>
      <c r="E35" s="2"/>
      <c r="F35" s="6">
        <f t="shared" si="20"/>
        <v>0.15328866196393207</v>
      </c>
      <c r="G35" s="2"/>
      <c r="H35" s="7">
        <v>15148.26</v>
      </c>
      <c r="I35" s="2"/>
      <c r="J35" s="6">
        <f t="shared" si="21"/>
        <v>1.7456638606074226</v>
      </c>
      <c r="K35" s="2"/>
      <c r="L35" s="7">
        <f t="shared" si="22"/>
        <v>4804.6200000000008</v>
      </c>
      <c r="M35" s="2"/>
      <c r="N35" s="6">
        <f t="shared" si="23"/>
        <v>0.31717306146052421</v>
      </c>
      <c r="O35" s="11"/>
      <c r="P35" s="7">
        <v>64485.35</v>
      </c>
      <c r="Q35" s="2"/>
      <c r="R35" s="6">
        <f t="shared" si="24"/>
        <v>0.3190030813299346</v>
      </c>
      <c r="S35" s="2"/>
      <c r="T35" s="7">
        <v>50890.62</v>
      </c>
      <c r="U35" s="2"/>
      <c r="V35" s="6">
        <f t="shared" si="25"/>
        <v>3.5410792192881746</v>
      </c>
      <c r="W35" s="2"/>
      <c r="X35" s="7">
        <f t="shared" si="26"/>
        <v>13594.729999999996</v>
      </c>
      <c r="Y35" s="2"/>
      <c r="Z35" s="6">
        <f t="shared" si="27"/>
        <v>0.26713626204593294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7">
        <v>9010.67</v>
      </c>
      <c r="E36" s="2"/>
      <c r="F36" s="6">
        <f t="shared" si="20"/>
        <v>6.9224770945274253E-2</v>
      </c>
      <c r="G36" s="2"/>
      <c r="H36" s="7">
        <v>3115.4</v>
      </c>
      <c r="I36" s="2"/>
      <c r="J36" s="6">
        <f t="shared" si="21"/>
        <v>0.35901424924950881</v>
      </c>
      <c r="K36" s="2"/>
      <c r="L36" s="7">
        <f t="shared" si="22"/>
        <v>5895.27</v>
      </c>
      <c r="M36" s="2"/>
      <c r="N36" s="6">
        <f t="shared" si="23"/>
        <v>1.8922995441997819</v>
      </c>
      <c r="O36" s="11"/>
      <c r="P36" s="7">
        <v>24738.03</v>
      </c>
      <c r="Q36" s="2"/>
      <c r="R36" s="6">
        <f t="shared" si="24"/>
        <v>0.12237675372828652</v>
      </c>
      <c r="S36" s="2"/>
      <c r="T36" s="7">
        <v>10705.6</v>
      </c>
      <c r="U36" s="2"/>
      <c r="V36" s="6">
        <f t="shared" si="25"/>
        <v>0.74491876282921066</v>
      </c>
      <c r="W36" s="2"/>
      <c r="X36" s="7">
        <f t="shared" si="26"/>
        <v>14032.429999999998</v>
      </c>
      <c r="Y36" s="2"/>
      <c r="Z36" s="6">
        <f t="shared" si="27"/>
        <v>1.3107560529068896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7">
        <v>14430.67</v>
      </c>
      <c r="E37" s="2"/>
      <c r="F37" s="6">
        <f t="shared" si="20"/>
        <v>0.11086410059816204</v>
      </c>
      <c r="G37" s="2"/>
      <c r="H37" s="7">
        <v>1266.67</v>
      </c>
      <c r="I37" s="2"/>
      <c r="J37" s="6">
        <f t="shared" si="21"/>
        <v>0.14596924282495838</v>
      </c>
      <c r="K37" s="2"/>
      <c r="L37" s="7">
        <f t="shared" si="22"/>
        <v>13164</v>
      </c>
      <c r="M37" s="2"/>
      <c r="N37" s="6">
        <f t="shared" si="23"/>
        <v>10.392604229988867</v>
      </c>
      <c r="O37" s="11"/>
      <c r="P37" s="7">
        <v>26653.32</v>
      </c>
      <c r="Q37" s="2"/>
      <c r="R37" s="6">
        <f t="shared" si="24"/>
        <v>0.13185151678129642</v>
      </c>
      <c r="S37" s="2"/>
      <c r="T37" s="7">
        <v>1421.77</v>
      </c>
      <c r="U37" s="2"/>
      <c r="V37" s="6">
        <f t="shared" si="25"/>
        <v>9.8929826392512965E-2</v>
      </c>
      <c r="W37" s="2"/>
      <c r="X37" s="7">
        <f t="shared" si="26"/>
        <v>25231.55</v>
      </c>
      <c r="Y37" s="2"/>
      <c r="Z37" s="6">
        <f t="shared" si="27"/>
        <v>17.746576450480738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7">
        <v>14875.52</v>
      </c>
      <c r="E38" s="2"/>
      <c r="F38" s="6">
        <f t="shared" si="20"/>
        <v>0.11428167546828881</v>
      </c>
      <c r="G38" s="2"/>
      <c r="H38" s="7">
        <v>-581</v>
      </c>
      <c r="I38" s="2"/>
      <c r="J38" s="6">
        <f t="shared" si="21"/>
        <v>-6.6953610712577716E-2</v>
      </c>
      <c r="K38" s="2"/>
      <c r="L38" s="7">
        <f t="shared" si="22"/>
        <v>15456.52</v>
      </c>
      <c r="M38" s="2"/>
      <c r="N38" s="6">
        <f t="shared" si="23"/>
        <v>-26.603304647160069</v>
      </c>
      <c r="O38" s="11"/>
      <c r="P38" s="7">
        <v>31214</v>
      </c>
      <c r="Q38" s="2"/>
      <c r="R38" s="6">
        <f t="shared" si="24"/>
        <v>0.1544127802769556</v>
      </c>
      <c r="S38" s="2"/>
      <c r="T38" s="7">
        <v>824</v>
      </c>
      <c r="U38" s="2"/>
      <c r="V38" s="6">
        <f t="shared" si="25"/>
        <v>5.7335699126743904E-2</v>
      </c>
      <c r="W38" s="2"/>
      <c r="X38" s="7">
        <f t="shared" si="26"/>
        <v>30390</v>
      </c>
      <c r="Y38" s="2"/>
      <c r="Z38" s="6">
        <f t="shared" si="27"/>
        <v>36.881067961165051</v>
      </c>
    </row>
    <row r="39" spans="1:26" s="27" customFormat="1" outlineLevel="1" collapsed="1" x14ac:dyDescent="0.25">
      <c r="A39" s="29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200.77</v>
      </c>
      <c r="E39" s="1"/>
      <c r="F39" s="5">
        <f t="shared" ref="F39:F47" si="28">IF(D$12=0,0,D39/D$12)</f>
        <v>1.5424221797804949E-3</v>
      </c>
      <c r="G39" s="1"/>
      <c r="H39" s="1">
        <f>SUM(OSRRefH22_2x_0)</f>
        <v>49.61</v>
      </c>
      <c r="I39" s="1"/>
      <c r="J39" s="5">
        <f t="shared" ref="J39:J47" si="29">IF(H$12=0,0,H39/H$12)</f>
        <v>5.7169855894164895E-3</v>
      </c>
      <c r="K39" s="1"/>
      <c r="L39" s="1">
        <f t="shared" ref="L39:L47" si="30">+D39-H39</f>
        <v>151.16000000000003</v>
      </c>
      <c r="M39" s="1"/>
      <c r="N39" s="5">
        <f t="shared" ref="N39:N47" si="31">IF(H39=0,0,L39/H39)</f>
        <v>3.0469663374319698</v>
      </c>
      <c r="O39" s="14"/>
      <c r="P39" s="1">
        <f>SUM(OSRRefP22_2x_0)</f>
        <v>673.06</v>
      </c>
      <c r="Q39" s="1"/>
      <c r="R39" s="5">
        <f t="shared" ref="R39:R47" si="32">IF(P$12=0,0,P39/P$12)</f>
        <v>3.3295657683477839E-3</v>
      </c>
      <c r="S39" s="1"/>
      <c r="T39" s="1">
        <f>SUM(OSRRefT22_2x_0)</f>
        <v>95.58</v>
      </c>
      <c r="U39" s="1"/>
      <c r="V39" s="5">
        <f t="shared" ref="V39:V47" si="33">IF(T$12=0,0,T39/T$12)</f>
        <v>6.650662770065755E-3</v>
      </c>
      <c r="W39" s="1"/>
      <c r="X39" s="1">
        <f t="shared" ref="X39:X47" si="34">+P39-T39</f>
        <v>577.4799999999999</v>
      </c>
      <c r="Y39" s="1"/>
      <c r="Z39" s="5">
        <f t="shared" ref="Z39:Z47" si="35">IF(T39=0,0,X39/T39)</f>
        <v>6.0418497593638829</v>
      </c>
    </row>
    <row r="40" spans="1:26" s="24" customFormat="1" hidden="1" outlineLevel="2" x14ac:dyDescent="0.25">
      <c r="A40" s="28"/>
      <c r="B40" s="11" t="str">
        <f>CONCATENATE("          ", "6362", " - ", "ADVERTISING EXPENSE")</f>
        <v xml:space="preserve">          6362 - ADVERTISING EXPENSE</v>
      </c>
      <c r="C40" s="11"/>
      <c r="D40" s="7">
        <v>200.77</v>
      </c>
      <c r="E40" s="2"/>
      <c r="F40" s="6">
        <f t="shared" si="28"/>
        <v>1.5424221797804949E-3</v>
      </c>
      <c r="G40" s="2"/>
      <c r="H40" s="7">
        <v>49.61</v>
      </c>
      <c r="I40" s="2"/>
      <c r="J40" s="6">
        <f t="shared" si="29"/>
        <v>5.7169855894164895E-3</v>
      </c>
      <c r="K40" s="2"/>
      <c r="L40" s="7">
        <f t="shared" si="30"/>
        <v>151.16000000000003</v>
      </c>
      <c r="M40" s="2"/>
      <c r="N40" s="6">
        <f t="shared" si="31"/>
        <v>3.0469663374319698</v>
      </c>
      <c r="O40" s="11"/>
      <c r="P40" s="7">
        <v>673.06</v>
      </c>
      <c r="Q40" s="2"/>
      <c r="R40" s="6">
        <f t="shared" si="32"/>
        <v>3.3295657683477839E-3</v>
      </c>
      <c r="S40" s="2"/>
      <c r="T40" s="7">
        <v>95.58</v>
      </c>
      <c r="U40" s="2"/>
      <c r="V40" s="6">
        <f t="shared" si="33"/>
        <v>6.650662770065755E-3</v>
      </c>
      <c r="W40" s="2"/>
      <c r="X40" s="7">
        <f t="shared" si="34"/>
        <v>577.4799999999999</v>
      </c>
      <c r="Y40" s="2"/>
      <c r="Z40" s="6">
        <f t="shared" si="35"/>
        <v>6.0418497593638829</v>
      </c>
    </row>
    <row r="41" spans="1:26" s="27" customFormat="1" outlineLevel="1" collapsed="1" x14ac:dyDescent="0.25">
      <c r="A41" s="29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-8.0500000000000007</v>
      </c>
      <c r="E41" s="1"/>
      <c r="F41" s="5">
        <f t="shared" si="28"/>
        <v>-6.1844391827628543E-5</v>
      </c>
      <c r="G41" s="1"/>
      <c r="H41" s="1">
        <f>SUM(OSRRefH22_3x_0)</f>
        <v>-193.38</v>
      </c>
      <c r="I41" s="1"/>
      <c r="J41" s="5">
        <f t="shared" si="29"/>
        <v>-2.2284835180031461E-2</v>
      </c>
      <c r="K41" s="1"/>
      <c r="L41" s="1">
        <f t="shared" si="30"/>
        <v>185.32999999999998</v>
      </c>
      <c r="M41" s="1"/>
      <c r="N41" s="5">
        <f t="shared" si="31"/>
        <v>-0.95837211707518866</v>
      </c>
      <c r="O41" s="14"/>
      <c r="P41" s="1">
        <f>SUM(OSRRefP22_3x_0)</f>
        <v>-115.29</v>
      </c>
      <c r="Q41" s="1"/>
      <c r="R41" s="5">
        <f t="shared" si="32"/>
        <v>-5.7032900102935255E-4</v>
      </c>
      <c r="S41" s="1"/>
      <c r="T41" s="1">
        <f>SUM(OSRRefT22_3x_0)</f>
        <v>-193.52</v>
      </c>
      <c r="U41" s="1"/>
      <c r="V41" s="5">
        <f t="shared" si="33"/>
        <v>-1.346553943568869E-2</v>
      </c>
      <c r="W41" s="1"/>
      <c r="X41" s="1">
        <f t="shared" si="34"/>
        <v>78.23</v>
      </c>
      <c r="Y41" s="1"/>
      <c r="Z41" s="5">
        <f t="shared" si="35"/>
        <v>-0.4042476229847044</v>
      </c>
    </row>
    <row r="42" spans="1:26" s="24" customFormat="1" hidden="1" outlineLevel="2" x14ac:dyDescent="0.25">
      <c r="A42" s="28"/>
      <c r="B42" s="11" t="str">
        <f>CONCATENATE("          ", "6272", " - ", "CASH (OVER/SHORT)")</f>
        <v xml:space="preserve">          6272 - CASH (OVER/SHORT)</v>
      </c>
      <c r="C42" s="11"/>
      <c r="D42" s="7">
        <v>-8.0500000000000007</v>
      </c>
      <c r="E42" s="2"/>
      <c r="F42" s="6">
        <f t="shared" si="28"/>
        <v>-6.1844391827628543E-5</v>
      </c>
      <c r="G42" s="2"/>
      <c r="H42" s="7">
        <v>-193.38</v>
      </c>
      <c r="I42" s="2"/>
      <c r="J42" s="6">
        <f t="shared" si="29"/>
        <v>-2.2284835180031461E-2</v>
      </c>
      <c r="K42" s="2"/>
      <c r="L42" s="7">
        <f t="shared" si="30"/>
        <v>185.32999999999998</v>
      </c>
      <c r="M42" s="2"/>
      <c r="N42" s="6">
        <f t="shared" si="31"/>
        <v>-0.95837211707518866</v>
      </c>
      <c r="O42" s="11"/>
      <c r="P42" s="7">
        <v>-115.29</v>
      </c>
      <c r="Q42" s="2"/>
      <c r="R42" s="6">
        <f t="shared" si="32"/>
        <v>-5.7032900102935255E-4</v>
      </c>
      <c r="S42" s="2"/>
      <c r="T42" s="7">
        <v>-193.52</v>
      </c>
      <c r="U42" s="2"/>
      <c r="V42" s="6">
        <f t="shared" si="33"/>
        <v>-1.346553943568869E-2</v>
      </c>
      <c r="W42" s="2"/>
      <c r="X42" s="7">
        <f t="shared" si="34"/>
        <v>78.23</v>
      </c>
      <c r="Y42" s="2"/>
      <c r="Z42" s="6">
        <f t="shared" si="35"/>
        <v>-0.4042476229847044</v>
      </c>
    </row>
    <row r="43" spans="1:26" s="27" customFormat="1" outlineLevel="1" collapsed="1" x14ac:dyDescent="0.25">
      <c r="A43" s="29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4771.99</v>
      </c>
      <c r="E43" s="1"/>
      <c r="F43" s="5">
        <f t="shared" si="28"/>
        <v>3.6660971348760882E-2</v>
      </c>
      <c r="G43" s="1"/>
      <c r="H43" s="1">
        <f>SUM(OSRRefH22_4x_0)</f>
        <v>493.43</v>
      </c>
      <c r="I43" s="1"/>
      <c r="J43" s="5">
        <f t="shared" si="29"/>
        <v>5.6862168905175946E-2</v>
      </c>
      <c r="K43" s="1"/>
      <c r="L43" s="1">
        <f t="shared" si="30"/>
        <v>4278.5599999999995</v>
      </c>
      <c r="M43" s="1"/>
      <c r="N43" s="5">
        <f t="shared" si="31"/>
        <v>8.6710576981537386</v>
      </c>
      <c r="O43" s="14"/>
      <c r="P43" s="1">
        <f>SUM(OSRRefP22_4x_0)</f>
        <v>8046.71</v>
      </c>
      <c r="Q43" s="1"/>
      <c r="R43" s="5">
        <f t="shared" si="32"/>
        <v>3.9806332516895665E-2</v>
      </c>
      <c r="S43" s="1"/>
      <c r="T43" s="1">
        <f>SUM(OSRRefT22_4x_0)</f>
        <v>1109.32</v>
      </c>
      <c r="U43" s="1"/>
      <c r="V43" s="5">
        <f t="shared" si="33"/>
        <v>7.7188880770970317E-2</v>
      </c>
      <c r="W43" s="1"/>
      <c r="X43" s="1">
        <f t="shared" si="34"/>
        <v>6937.39</v>
      </c>
      <c r="Y43" s="1"/>
      <c r="Z43" s="5">
        <f t="shared" si="35"/>
        <v>6.2537320160098089</v>
      </c>
    </row>
    <row r="44" spans="1:26" s="24" customFormat="1" hidden="1" outlineLevel="2" x14ac:dyDescent="0.25">
      <c r="A44" s="28"/>
      <c r="B44" s="11" t="str">
        <f>CONCATENATE("          ", "6381", " - ", "BANK/CREDIT CARD FEES")</f>
        <v xml:space="preserve">          6381 - BANK/CREDIT CARD FEES</v>
      </c>
      <c r="C44" s="11"/>
      <c r="D44" s="7">
        <v>4771.99</v>
      </c>
      <c r="E44" s="2"/>
      <c r="F44" s="6">
        <f t="shared" si="28"/>
        <v>3.6660971348760882E-2</v>
      </c>
      <c r="G44" s="2"/>
      <c r="H44" s="7">
        <v>493.43</v>
      </c>
      <c r="I44" s="2"/>
      <c r="J44" s="6">
        <f t="shared" si="29"/>
        <v>5.6862168905175946E-2</v>
      </c>
      <c r="K44" s="2"/>
      <c r="L44" s="7">
        <f t="shared" si="30"/>
        <v>4278.5599999999995</v>
      </c>
      <c r="M44" s="2"/>
      <c r="N44" s="6">
        <f t="shared" si="31"/>
        <v>8.6710576981537386</v>
      </c>
      <c r="O44" s="11"/>
      <c r="P44" s="7">
        <v>8046.71</v>
      </c>
      <c r="Q44" s="2"/>
      <c r="R44" s="6">
        <f t="shared" si="32"/>
        <v>3.9806332516895665E-2</v>
      </c>
      <c r="S44" s="2"/>
      <c r="T44" s="7">
        <v>1109.32</v>
      </c>
      <c r="U44" s="2"/>
      <c r="V44" s="6">
        <f t="shared" si="33"/>
        <v>7.7188880770970317E-2</v>
      </c>
      <c r="W44" s="2"/>
      <c r="X44" s="7">
        <f t="shared" si="34"/>
        <v>6937.39</v>
      </c>
      <c r="Y44" s="2"/>
      <c r="Z44" s="6">
        <f t="shared" si="35"/>
        <v>6.2537320160098089</v>
      </c>
    </row>
    <row r="45" spans="1:26" s="27" customFormat="1" outlineLevel="1" collapsed="1" x14ac:dyDescent="0.25">
      <c r="A45" s="29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32782.04</v>
      </c>
      <c r="E45" s="1"/>
      <c r="F45" s="5">
        <f t="shared" si="28"/>
        <v>0.2518491089029804</v>
      </c>
      <c r="G45" s="1"/>
      <c r="H45" s="1">
        <f>SUM(OSRRefH22_5x_0)</f>
        <v>37681.94</v>
      </c>
      <c r="I45" s="1"/>
      <c r="J45" s="5">
        <f t="shared" si="29"/>
        <v>4.3424129804728242</v>
      </c>
      <c r="K45" s="1"/>
      <c r="L45" s="1">
        <f t="shared" si="30"/>
        <v>-4899.9000000000015</v>
      </c>
      <c r="M45" s="1"/>
      <c r="N45" s="5">
        <f t="shared" si="31"/>
        <v>-0.13003311400633835</v>
      </c>
      <c r="O45" s="14"/>
      <c r="P45" s="1">
        <f>SUM(OSRRefP22_5x_0)</f>
        <v>98434.26</v>
      </c>
      <c r="Q45" s="1"/>
      <c r="R45" s="5">
        <f t="shared" si="32"/>
        <v>0.48694520923639129</v>
      </c>
      <c r="S45" s="1"/>
      <c r="T45" s="1">
        <f>SUM(OSRRefT22_5x_0)</f>
        <v>112928.43</v>
      </c>
      <c r="U45" s="1"/>
      <c r="V45" s="5">
        <f t="shared" si="33"/>
        <v>7.8578039870577179</v>
      </c>
      <c r="W45" s="1"/>
      <c r="X45" s="1">
        <f t="shared" si="34"/>
        <v>-14494.169999999998</v>
      </c>
      <c r="Y45" s="1"/>
      <c r="Z45" s="5">
        <f t="shared" si="35"/>
        <v>-0.12834828218190936</v>
      </c>
    </row>
    <row r="46" spans="1:26" s="24" customFormat="1" hidden="1" outlineLevel="2" x14ac:dyDescent="0.25">
      <c r="A46" s="28"/>
      <c r="B46" s="11" t="str">
        <f>CONCATENATE("          ", "6321", " - ", "BUILDING DEPRECIATION")</f>
        <v xml:space="preserve">          6321 - BUILDING DEPRECIATION</v>
      </c>
      <c r="C46" s="11"/>
      <c r="D46" s="7">
        <v>23539.4</v>
      </c>
      <c r="E46" s="2"/>
      <c r="F46" s="6">
        <f t="shared" si="28"/>
        <v>0.18084222074376141</v>
      </c>
      <c r="G46" s="2"/>
      <c r="H46" s="7">
        <v>23844.880000000001</v>
      </c>
      <c r="I46" s="2"/>
      <c r="J46" s="6">
        <f t="shared" si="29"/>
        <v>2.747849936330689</v>
      </c>
      <c r="K46" s="2"/>
      <c r="L46" s="7">
        <f t="shared" si="30"/>
        <v>-305.47999999999956</v>
      </c>
      <c r="M46" s="2"/>
      <c r="N46" s="6">
        <f t="shared" si="31"/>
        <v>-1.2811135975521771E-2</v>
      </c>
      <c r="O46" s="11"/>
      <c r="P46" s="7">
        <v>70706.34</v>
      </c>
      <c r="Q46" s="2"/>
      <c r="R46" s="6">
        <f t="shared" si="32"/>
        <v>0.34977774532606254</v>
      </c>
      <c r="S46" s="2"/>
      <c r="T46" s="7">
        <v>71534.66</v>
      </c>
      <c r="U46" s="2"/>
      <c r="V46" s="6">
        <f t="shared" si="33"/>
        <v>4.9775360957450516</v>
      </c>
      <c r="W46" s="2"/>
      <c r="X46" s="7">
        <f t="shared" si="34"/>
        <v>-828.32000000000698</v>
      </c>
      <c r="Y46" s="2"/>
      <c r="Z46" s="6">
        <f t="shared" si="35"/>
        <v>-1.1579281987221397E-2</v>
      </c>
    </row>
    <row r="47" spans="1:26" s="24" customFormat="1" hidden="1" outlineLevel="2" x14ac:dyDescent="0.25">
      <c r="A47" s="28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9242.64</v>
      </c>
      <c r="E47" s="2"/>
      <c r="F47" s="6">
        <f t="shared" si="28"/>
        <v>7.1006888159218962E-2</v>
      </c>
      <c r="G47" s="2"/>
      <c r="H47" s="7">
        <v>13837.06</v>
      </c>
      <c r="I47" s="2"/>
      <c r="J47" s="6">
        <f t="shared" si="29"/>
        <v>1.5945630441421352</v>
      </c>
      <c r="K47" s="2"/>
      <c r="L47" s="7">
        <f t="shared" si="30"/>
        <v>-4594.42</v>
      </c>
      <c r="M47" s="2"/>
      <c r="N47" s="6">
        <f t="shared" si="31"/>
        <v>-0.33203729694024597</v>
      </c>
      <c r="O47" s="11"/>
      <c r="P47" s="7">
        <v>27727.919999999998</v>
      </c>
      <c r="Q47" s="2"/>
      <c r="R47" s="6">
        <f t="shared" si="32"/>
        <v>0.13716746391032877</v>
      </c>
      <c r="S47" s="2"/>
      <c r="T47" s="7">
        <v>41393.769999999997</v>
      </c>
      <c r="U47" s="2"/>
      <c r="V47" s="6">
        <f t="shared" si="33"/>
        <v>2.8802678913126671</v>
      </c>
      <c r="W47" s="2"/>
      <c r="X47" s="7">
        <f t="shared" si="34"/>
        <v>-13665.849999999999</v>
      </c>
      <c r="Y47" s="2"/>
      <c r="Z47" s="6">
        <f t="shared" si="35"/>
        <v>-0.33014267605970654</v>
      </c>
    </row>
    <row r="48" spans="1:26" s="27" customFormat="1" outlineLevel="1" collapsed="1" x14ac:dyDescent="0.25">
      <c r="A48" s="29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SUM(OSRRefD22_6x_0)</f>
        <v>0</v>
      </c>
      <c r="E48" s="1"/>
      <c r="F48" s="5">
        <f t="shared" ref="F48:F65" si="36">IF(D$12=0,0,D48/D$12)</f>
        <v>0</v>
      </c>
      <c r="G48" s="1"/>
      <c r="H48" s="1">
        <f>SUM(OSRRefH22_6x_0)</f>
        <v>0</v>
      </c>
      <c r="I48" s="1"/>
      <c r="J48" s="5">
        <f t="shared" ref="J48:J65" si="37">IF(H$12=0,0,H48/H$12)</f>
        <v>0</v>
      </c>
      <c r="K48" s="1"/>
      <c r="L48" s="1">
        <f t="shared" ref="L48:L65" si="38">+D48-H48</f>
        <v>0</v>
      </c>
      <c r="M48" s="1"/>
      <c r="N48" s="5">
        <f t="shared" ref="N48:N65" si="39">IF(H48=0,0,L48/H48)</f>
        <v>0</v>
      </c>
      <c r="O48" s="14"/>
      <c r="P48" s="1">
        <f>SUM(OSRRefP22_6x_0)</f>
        <v>18</v>
      </c>
      <c r="Q48" s="1"/>
      <c r="R48" s="5">
        <f t="shared" ref="R48:R65" si="40">IF(P$12=0,0,P48/P$12)</f>
        <v>8.9044340519805234E-5</v>
      </c>
      <c r="S48" s="1"/>
      <c r="T48" s="1">
        <f>SUM(OSRRefT22_6x_0)</f>
        <v>0</v>
      </c>
      <c r="U48" s="1"/>
      <c r="V48" s="5">
        <f t="shared" ref="V48:V65" si="41">IF(T$12=0,0,T48/T$12)</f>
        <v>0</v>
      </c>
      <c r="W48" s="1"/>
      <c r="X48" s="1">
        <f t="shared" ref="X48:X65" si="42">+P48-T48</f>
        <v>18</v>
      </c>
      <c r="Y48" s="1"/>
      <c r="Z48" s="5">
        <f t="shared" ref="Z48:Z65" si="43">IF(T48=0,0,X48/T48)</f>
        <v>0</v>
      </c>
    </row>
    <row r="49" spans="1:26" s="24" customFormat="1" hidden="1" outlineLevel="2" x14ac:dyDescent="0.25">
      <c r="A49" s="28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36"/>
        <v>0</v>
      </c>
      <c r="G49" s="2"/>
      <c r="H49" s="7"/>
      <c r="I49" s="2"/>
      <c r="J49" s="6">
        <f t="shared" si="37"/>
        <v>0</v>
      </c>
      <c r="K49" s="2"/>
      <c r="L49" s="7">
        <f t="shared" si="38"/>
        <v>0</v>
      </c>
      <c r="M49" s="2"/>
      <c r="N49" s="6">
        <f t="shared" si="39"/>
        <v>0</v>
      </c>
      <c r="O49" s="11"/>
      <c r="P49" s="7">
        <v>18</v>
      </c>
      <c r="Q49" s="2"/>
      <c r="R49" s="6">
        <f t="shared" si="40"/>
        <v>8.9044340519805234E-5</v>
      </c>
      <c r="S49" s="2"/>
      <c r="T49" s="7"/>
      <c r="U49" s="2"/>
      <c r="V49" s="6">
        <f t="shared" si="41"/>
        <v>0</v>
      </c>
      <c r="W49" s="2"/>
      <c r="X49" s="7">
        <f t="shared" si="42"/>
        <v>18</v>
      </c>
      <c r="Y49" s="2"/>
      <c r="Z49" s="6">
        <f t="shared" si="43"/>
        <v>0</v>
      </c>
    </row>
    <row r="50" spans="1:26" s="27" customFormat="1" outlineLevel="1" collapsed="1" x14ac:dyDescent="0.25">
      <c r="A50" s="29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SUM(OSRRefD22_7x_0)</f>
        <v>91.26</v>
      </c>
      <c r="E50" s="1"/>
      <c r="F50" s="5">
        <f t="shared" si="36"/>
        <v>7.0110797493035787E-4</v>
      </c>
      <c r="G50" s="1"/>
      <c r="H50" s="1">
        <f>SUM(OSRRefH22_7x_0)</f>
        <v>283.86</v>
      </c>
      <c r="I50" s="1"/>
      <c r="J50" s="5">
        <f t="shared" si="37"/>
        <v>3.27116212338594E-2</v>
      </c>
      <c r="K50" s="1"/>
      <c r="L50" s="1">
        <f t="shared" si="38"/>
        <v>-192.60000000000002</v>
      </c>
      <c r="M50" s="1"/>
      <c r="N50" s="5">
        <f t="shared" si="39"/>
        <v>-0.67850348763474955</v>
      </c>
      <c r="O50" s="14"/>
      <c r="P50" s="1">
        <f>SUM(OSRRefP22_7x_0)</f>
        <v>1798.71</v>
      </c>
      <c r="Q50" s="1"/>
      <c r="R50" s="5">
        <f t="shared" si="40"/>
        <v>8.8980525409099384E-3</v>
      </c>
      <c r="S50" s="1"/>
      <c r="T50" s="1">
        <f>SUM(OSRRefT22_7x_0)</f>
        <v>1316.61</v>
      </c>
      <c r="U50" s="1"/>
      <c r="V50" s="5">
        <f t="shared" si="41"/>
        <v>9.1612566537939671E-2</v>
      </c>
      <c r="W50" s="1"/>
      <c r="X50" s="1">
        <f t="shared" si="42"/>
        <v>482.10000000000014</v>
      </c>
      <c r="Y50" s="1"/>
      <c r="Z50" s="5">
        <f t="shared" si="43"/>
        <v>0.36616765784856575</v>
      </c>
    </row>
    <row r="51" spans="1:26" s="24" customFormat="1" hidden="1" outlineLevel="2" x14ac:dyDescent="0.25">
      <c r="A51" s="28"/>
      <c r="B51" s="11" t="str">
        <f>CONCATENATE("          ", "6351", " - ", "EQUIPMENT RENTAL")</f>
        <v xml:space="preserve">          6351 - EQUIPMENT RENTAL</v>
      </c>
      <c r="C51" s="11"/>
      <c r="D51" s="7">
        <v>91.26</v>
      </c>
      <c r="E51" s="2"/>
      <c r="F51" s="6">
        <f t="shared" si="36"/>
        <v>7.0110797493035787E-4</v>
      </c>
      <c r="G51" s="2"/>
      <c r="H51" s="7">
        <v>283.86</v>
      </c>
      <c r="I51" s="2"/>
      <c r="J51" s="6">
        <f t="shared" si="37"/>
        <v>3.27116212338594E-2</v>
      </c>
      <c r="K51" s="2"/>
      <c r="L51" s="7">
        <f t="shared" si="38"/>
        <v>-192.60000000000002</v>
      </c>
      <c r="M51" s="2"/>
      <c r="N51" s="6">
        <f t="shared" si="39"/>
        <v>-0.67850348763474955</v>
      </c>
      <c r="O51" s="11"/>
      <c r="P51" s="7">
        <v>1798.71</v>
      </c>
      <c r="Q51" s="2"/>
      <c r="R51" s="6">
        <f t="shared" si="40"/>
        <v>8.8980525409099384E-3</v>
      </c>
      <c r="S51" s="2"/>
      <c r="T51" s="7">
        <v>1316.61</v>
      </c>
      <c r="U51" s="2"/>
      <c r="V51" s="6">
        <f t="shared" si="41"/>
        <v>9.1612566537939671E-2</v>
      </c>
      <c r="W51" s="2"/>
      <c r="X51" s="7">
        <f t="shared" si="42"/>
        <v>482.10000000000014</v>
      </c>
      <c r="Y51" s="2"/>
      <c r="Z51" s="6">
        <f t="shared" si="43"/>
        <v>0.36616765784856575</v>
      </c>
    </row>
    <row r="52" spans="1:26" s="27" customFormat="1" outlineLevel="1" collapsed="1" x14ac:dyDescent="0.25">
      <c r="A52" s="29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SUM(OSRRefD22_8x_0)</f>
        <v>0</v>
      </c>
      <c r="E52" s="1"/>
      <c r="F52" s="5">
        <f t="shared" si="36"/>
        <v>0</v>
      </c>
      <c r="G52" s="1"/>
      <c r="H52" s="1">
        <f>SUM(OSRRefH22_8x_0)</f>
        <v>-5.41</v>
      </c>
      <c r="I52" s="1"/>
      <c r="J52" s="5">
        <f t="shared" si="37"/>
        <v>-6.2344067806376156E-4</v>
      </c>
      <c r="K52" s="1"/>
      <c r="L52" s="1">
        <f t="shared" si="38"/>
        <v>5.41</v>
      </c>
      <c r="M52" s="1"/>
      <c r="N52" s="5">
        <f t="shared" si="39"/>
        <v>-1</v>
      </c>
      <c r="O52" s="14"/>
      <c r="P52" s="1">
        <f>SUM(OSRRefP22_8x_0)</f>
        <v>0</v>
      </c>
      <c r="Q52" s="1"/>
      <c r="R52" s="5">
        <f t="shared" si="40"/>
        <v>0</v>
      </c>
      <c r="S52" s="1"/>
      <c r="T52" s="1">
        <f>SUM(OSRRefT22_8x_0)</f>
        <v>-5.41</v>
      </c>
      <c r="U52" s="1"/>
      <c r="V52" s="5">
        <f t="shared" si="41"/>
        <v>-3.7643948091709288E-4</v>
      </c>
      <c r="W52" s="1"/>
      <c r="X52" s="1">
        <f t="shared" si="42"/>
        <v>5.41</v>
      </c>
      <c r="Y52" s="1"/>
      <c r="Z52" s="5">
        <f t="shared" si="43"/>
        <v>-1</v>
      </c>
    </row>
    <row r="53" spans="1:26" s="24" customFormat="1" hidden="1" outlineLevel="2" x14ac:dyDescent="0.25">
      <c r="A53" s="28"/>
      <c r="B53" s="11" t="str">
        <f>CONCATENATE("          ", "6307", " - ", "POSTAGE")</f>
        <v xml:space="preserve">          6307 - POSTAGE</v>
      </c>
      <c r="C53" s="11"/>
      <c r="D53" s="7"/>
      <c r="E53" s="2"/>
      <c r="F53" s="6">
        <f t="shared" si="36"/>
        <v>0</v>
      </c>
      <c r="G53" s="2"/>
      <c r="H53" s="7">
        <v>-5.41</v>
      </c>
      <c r="I53" s="2"/>
      <c r="J53" s="6">
        <f t="shared" si="37"/>
        <v>-6.2344067806376156E-4</v>
      </c>
      <c r="K53" s="2"/>
      <c r="L53" s="7">
        <f t="shared" si="38"/>
        <v>5.41</v>
      </c>
      <c r="M53" s="2"/>
      <c r="N53" s="6">
        <f t="shared" si="39"/>
        <v>-1</v>
      </c>
      <c r="O53" s="11"/>
      <c r="P53" s="7"/>
      <c r="Q53" s="2"/>
      <c r="R53" s="6">
        <f t="shared" si="40"/>
        <v>0</v>
      </c>
      <c r="S53" s="2"/>
      <c r="T53" s="7">
        <v>-5.41</v>
      </c>
      <c r="U53" s="2"/>
      <c r="V53" s="6">
        <f t="shared" si="41"/>
        <v>-3.7643948091709288E-4</v>
      </c>
      <c r="W53" s="2"/>
      <c r="X53" s="7">
        <f t="shared" si="42"/>
        <v>5.41</v>
      </c>
      <c r="Y53" s="2"/>
      <c r="Z53" s="6">
        <f t="shared" si="43"/>
        <v>-1</v>
      </c>
    </row>
    <row r="54" spans="1:26" s="27" customFormat="1" outlineLevel="1" collapsed="1" x14ac:dyDescent="0.25">
      <c r="A54" s="29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SUM(OSRRefD22_9x_0)</f>
        <v>0</v>
      </c>
      <c r="E54" s="1"/>
      <c r="F54" s="5">
        <f t="shared" si="36"/>
        <v>0</v>
      </c>
      <c r="G54" s="1"/>
      <c r="H54" s="1">
        <f>SUM(OSRRefH22_9x_0)</f>
        <v>550.52</v>
      </c>
      <c r="I54" s="1"/>
      <c r="J54" s="5">
        <f t="shared" si="37"/>
        <v>6.3441139018052123E-2</v>
      </c>
      <c r="K54" s="1"/>
      <c r="L54" s="1">
        <f t="shared" si="38"/>
        <v>-550.52</v>
      </c>
      <c r="M54" s="1"/>
      <c r="N54" s="5">
        <f t="shared" si="39"/>
        <v>-1</v>
      </c>
      <c r="O54" s="14"/>
      <c r="P54" s="1">
        <f>SUM(OSRRefP22_9x_0)</f>
        <v>12322.21</v>
      </c>
      <c r="Q54" s="1"/>
      <c r="R54" s="5">
        <f t="shared" si="40"/>
        <v>6.0956836844252738E-2</v>
      </c>
      <c r="S54" s="1"/>
      <c r="T54" s="1">
        <f>SUM(OSRRefT22_9x_0)</f>
        <v>3766.45</v>
      </c>
      <c r="U54" s="1"/>
      <c r="V54" s="5">
        <f t="shared" si="41"/>
        <v>0.2620777232717531</v>
      </c>
      <c r="W54" s="1"/>
      <c r="X54" s="1">
        <f t="shared" si="42"/>
        <v>8555.7599999999984</v>
      </c>
      <c r="Y54" s="1"/>
      <c r="Z54" s="5">
        <f t="shared" si="43"/>
        <v>2.2715713735745857</v>
      </c>
    </row>
    <row r="55" spans="1:26" s="24" customFormat="1" hidden="1" outlineLevel="2" x14ac:dyDescent="0.25">
      <c r="A55" s="28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36"/>
        <v>0</v>
      </c>
      <c r="G55" s="2"/>
      <c r="H55" s="7">
        <v>550.52</v>
      </c>
      <c r="I55" s="2"/>
      <c r="J55" s="6">
        <f t="shared" si="37"/>
        <v>6.3441139018052123E-2</v>
      </c>
      <c r="K55" s="2"/>
      <c r="L55" s="7">
        <f t="shared" si="38"/>
        <v>-550.52</v>
      </c>
      <c r="M55" s="2"/>
      <c r="N55" s="6">
        <f t="shared" si="39"/>
        <v>-1</v>
      </c>
      <c r="O55" s="11"/>
      <c r="P55" s="7">
        <v>12322.21</v>
      </c>
      <c r="Q55" s="2"/>
      <c r="R55" s="6">
        <f t="shared" si="40"/>
        <v>6.0956836844252738E-2</v>
      </c>
      <c r="S55" s="2"/>
      <c r="T55" s="7">
        <v>3766.45</v>
      </c>
      <c r="U55" s="2"/>
      <c r="V55" s="6">
        <f t="shared" si="41"/>
        <v>0.2620777232717531</v>
      </c>
      <c r="W55" s="2"/>
      <c r="X55" s="7">
        <f t="shared" si="42"/>
        <v>8555.7599999999984</v>
      </c>
      <c r="Y55" s="2"/>
      <c r="Z55" s="6">
        <f t="shared" si="43"/>
        <v>2.2715713735745857</v>
      </c>
    </row>
    <row r="56" spans="1:26" s="27" customFormat="1" outlineLevel="1" collapsed="1" x14ac:dyDescent="0.25">
      <c r="A56" s="29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SUM(OSRRefD22_10x_0)</f>
        <v>5756.21</v>
      </c>
      <c r="E56" s="1"/>
      <c r="F56" s="5">
        <f t="shared" si="36"/>
        <v>4.4222274122001699E-2</v>
      </c>
      <c r="G56" s="1"/>
      <c r="H56" s="1">
        <f>SUM(OSRRefH22_10x_0)</f>
        <v>4240.13</v>
      </c>
      <c r="I56" s="1"/>
      <c r="J56" s="5">
        <f t="shared" si="37"/>
        <v>0.48862652907181092</v>
      </c>
      <c r="K56" s="1"/>
      <c r="L56" s="1">
        <f t="shared" si="38"/>
        <v>1516.08</v>
      </c>
      <c r="M56" s="1"/>
      <c r="N56" s="5">
        <f t="shared" si="39"/>
        <v>0.35755507496232425</v>
      </c>
      <c r="O56" s="14"/>
      <c r="P56" s="1">
        <f>SUM(OSRRefP22_10x_0)</f>
        <v>17268.63</v>
      </c>
      <c r="Q56" s="1"/>
      <c r="R56" s="5">
        <f t="shared" si="40"/>
        <v>8.5426320557251356E-2</v>
      </c>
      <c r="S56" s="1"/>
      <c r="T56" s="1">
        <f>SUM(OSRRefT22_10x_0)</f>
        <v>12720.39</v>
      </c>
      <c r="U56" s="1"/>
      <c r="V56" s="5">
        <f t="shared" si="41"/>
        <v>0.88511220123160417</v>
      </c>
      <c r="W56" s="1"/>
      <c r="X56" s="1">
        <f t="shared" si="42"/>
        <v>4548.2400000000016</v>
      </c>
      <c r="Y56" s="1"/>
      <c r="Z56" s="5">
        <f t="shared" si="43"/>
        <v>0.35755507496232442</v>
      </c>
    </row>
    <row r="57" spans="1:26" s="24" customFormat="1" hidden="1" outlineLevel="2" x14ac:dyDescent="0.25">
      <c r="A57" s="28"/>
      <c r="B57" s="11" t="str">
        <f>CONCATENATE("          ", "6314", " - ", "LIABILITY INSURANCE")</f>
        <v xml:space="preserve">          6314 - LIABILITY INSURANCE</v>
      </c>
      <c r="C57" s="11"/>
      <c r="D57" s="7">
        <v>5756.21</v>
      </c>
      <c r="E57" s="2"/>
      <c r="F57" s="6">
        <f t="shared" si="36"/>
        <v>4.4222274122001699E-2</v>
      </c>
      <c r="G57" s="2"/>
      <c r="H57" s="7">
        <v>4240.13</v>
      </c>
      <c r="I57" s="2"/>
      <c r="J57" s="6">
        <f t="shared" si="37"/>
        <v>0.48862652907181092</v>
      </c>
      <c r="K57" s="2"/>
      <c r="L57" s="7">
        <f t="shared" si="38"/>
        <v>1516.08</v>
      </c>
      <c r="M57" s="2"/>
      <c r="N57" s="6">
        <f t="shared" si="39"/>
        <v>0.35755507496232425</v>
      </c>
      <c r="O57" s="11"/>
      <c r="P57" s="7">
        <v>17268.63</v>
      </c>
      <c r="Q57" s="2"/>
      <c r="R57" s="6">
        <f t="shared" si="40"/>
        <v>8.5426320557251356E-2</v>
      </c>
      <c r="S57" s="2"/>
      <c r="T57" s="7">
        <v>12720.39</v>
      </c>
      <c r="U57" s="2"/>
      <c r="V57" s="6">
        <f t="shared" si="41"/>
        <v>0.88511220123160417</v>
      </c>
      <c r="W57" s="2"/>
      <c r="X57" s="7">
        <f t="shared" si="42"/>
        <v>4548.2400000000016</v>
      </c>
      <c r="Y57" s="2"/>
      <c r="Z57" s="6">
        <f t="shared" si="43"/>
        <v>0.35755507496232442</v>
      </c>
    </row>
    <row r="58" spans="1:26" s="27" customFormat="1" outlineLevel="1" collapsed="1" x14ac:dyDescent="0.25">
      <c r="A58" s="29"/>
      <c r="B58" s="14" t="str">
        <f>CONCATENATE("     ","Interest                                          ")</f>
        <v xml:space="preserve">     Interest                                          </v>
      </c>
      <c r="C58" s="14"/>
      <c r="D58" s="1">
        <f>SUM(OSRRefD22_11x_0)</f>
        <v>7253</v>
      </c>
      <c r="E58" s="1"/>
      <c r="F58" s="5">
        <f t="shared" si="36"/>
        <v>5.5721412910036003E-2</v>
      </c>
      <c r="G58" s="1"/>
      <c r="H58" s="1">
        <f>SUM(OSRRefH22_11x_0)</f>
        <v>7510</v>
      </c>
      <c r="I58" s="1"/>
      <c r="J58" s="5">
        <f t="shared" si="37"/>
        <v>0.86544168063934368</v>
      </c>
      <c r="K58" s="1"/>
      <c r="L58" s="1">
        <f t="shared" si="38"/>
        <v>-257</v>
      </c>
      <c r="M58" s="1"/>
      <c r="N58" s="5">
        <f t="shared" si="39"/>
        <v>-3.4221038615179764E-2</v>
      </c>
      <c r="O58" s="14"/>
      <c r="P58" s="1">
        <f>SUM(OSRRefP22_11x_0)</f>
        <v>21759</v>
      </c>
      <c r="Q58" s="1"/>
      <c r="R58" s="5">
        <f t="shared" si="40"/>
        <v>0.10763976696502456</v>
      </c>
      <c r="S58" s="1"/>
      <c r="T58" s="1">
        <f>SUM(OSRRefT22_11x_0)</f>
        <v>22530</v>
      </c>
      <c r="U58" s="1"/>
      <c r="V58" s="5">
        <f t="shared" si="41"/>
        <v>1.5676860452979855</v>
      </c>
      <c r="W58" s="1"/>
      <c r="X58" s="1">
        <f t="shared" si="42"/>
        <v>-771</v>
      </c>
      <c r="Y58" s="1"/>
      <c r="Z58" s="5">
        <f t="shared" si="43"/>
        <v>-3.4221038615179764E-2</v>
      </c>
    </row>
    <row r="59" spans="1:26" s="24" customFormat="1" hidden="1" outlineLevel="2" x14ac:dyDescent="0.25">
      <c r="A59" s="28"/>
      <c r="B59" s="11" t="str">
        <f>CONCATENATE("          ", "6401", " - ", "INTEREST EXPENSE")</f>
        <v xml:space="preserve">          6401 - INTEREST EXPENSE</v>
      </c>
      <c r="C59" s="11"/>
      <c r="D59" s="7">
        <v>7253</v>
      </c>
      <c r="E59" s="2"/>
      <c r="F59" s="6">
        <f t="shared" si="36"/>
        <v>5.5721412910036003E-2</v>
      </c>
      <c r="G59" s="2"/>
      <c r="H59" s="7">
        <v>7510</v>
      </c>
      <c r="I59" s="2"/>
      <c r="J59" s="6">
        <f t="shared" si="37"/>
        <v>0.86544168063934368</v>
      </c>
      <c r="K59" s="2"/>
      <c r="L59" s="7">
        <f t="shared" si="38"/>
        <v>-257</v>
      </c>
      <c r="M59" s="2"/>
      <c r="N59" s="6">
        <f t="shared" si="39"/>
        <v>-3.4221038615179764E-2</v>
      </c>
      <c r="O59" s="11"/>
      <c r="P59" s="7">
        <v>21759</v>
      </c>
      <c r="Q59" s="2"/>
      <c r="R59" s="6">
        <f t="shared" si="40"/>
        <v>0.10763976696502456</v>
      </c>
      <c r="S59" s="2"/>
      <c r="T59" s="7">
        <v>22530</v>
      </c>
      <c r="U59" s="2"/>
      <c r="V59" s="6">
        <f t="shared" si="41"/>
        <v>1.5676860452979855</v>
      </c>
      <c r="W59" s="2"/>
      <c r="X59" s="7">
        <f t="shared" si="42"/>
        <v>-771</v>
      </c>
      <c r="Y59" s="2"/>
      <c r="Z59" s="6">
        <f t="shared" si="43"/>
        <v>-3.4221038615179764E-2</v>
      </c>
    </row>
    <row r="60" spans="1:26" s="27" customFormat="1" outlineLevel="1" collapsed="1" x14ac:dyDescent="0.25">
      <c r="A60" s="29"/>
      <c r="B60" s="14" t="str">
        <f>CONCATENATE("     ","Rent                                              ")</f>
        <v xml:space="preserve">     Rent                                              </v>
      </c>
      <c r="C60" s="14"/>
      <c r="D60" s="1">
        <f>SUM(OSRRefD22_12x_0)</f>
        <v>1850</v>
      </c>
      <c r="E60" s="1"/>
      <c r="F60" s="5">
        <f t="shared" si="36"/>
        <v>1.4212686320635132E-2</v>
      </c>
      <c r="G60" s="1"/>
      <c r="H60" s="1">
        <f>SUM(OSRRefH22_12x_0)</f>
        <v>5550</v>
      </c>
      <c r="I60" s="1"/>
      <c r="J60" s="5">
        <f t="shared" si="37"/>
        <v>0.63957407823546697</v>
      </c>
      <c r="K60" s="1"/>
      <c r="L60" s="1">
        <f t="shared" si="38"/>
        <v>-3700</v>
      </c>
      <c r="M60" s="1"/>
      <c r="N60" s="5">
        <f t="shared" si="39"/>
        <v>-0.66666666666666663</v>
      </c>
      <c r="O60" s="14"/>
      <c r="P60" s="1">
        <f>SUM(OSRRefP22_12x_0)</f>
        <v>5550</v>
      </c>
      <c r="Q60" s="1"/>
      <c r="R60" s="5">
        <f t="shared" si="40"/>
        <v>2.7455338326939947E-2</v>
      </c>
      <c r="S60" s="1"/>
      <c r="T60" s="1">
        <f>SUM(OSRRefT22_12x_0)</f>
        <v>5550</v>
      </c>
      <c r="U60" s="1"/>
      <c r="V60" s="5">
        <f t="shared" si="41"/>
        <v>0.38618098319590854</v>
      </c>
      <c r="W60" s="1"/>
      <c r="X60" s="1">
        <f t="shared" si="42"/>
        <v>0</v>
      </c>
      <c r="Y60" s="1"/>
      <c r="Z60" s="5">
        <f t="shared" si="43"/>
        <v>0</v>
      </c>
    </row>
    <row r="61" spans="1:26" s="24" customFormat="1" hidden="1" outlineLevel="2" x14ac:dyDescent="0.25">
      <c r="A61" s="28"/>
      <c r="B61" s="11" t="str">
        <f>CONCATENATE("          ", "6273", " - ", "RENT")</f>
        <v xml:space="preserve">          6273 - RENT</v>
      </c>
      <c r="C61" s="11"/>
      <c r="D61" s="7">
        <v>1850</v>
      </c>
      <c r="E61" s="2"/>
      <c r="F61" s="6">
        <f t="shared" si="36"/>
        <v>1.4212686320635132E-2</v>
      </c>
      <c r="G61" s="2"/>
      <c r="H61" s="7">
        <v>5550</v>
      </c>
      <c r="I61" s="2"/>
      <c r="J61" s="6">
        <f t="shared" si="37"/>
        <v>0.63957407823546697</v>
      </c>
      <c r="K61" s="2"/>
      <c r="L61" s="7">
        <f t="shared" si="38"/>
        <v>-3700</v>
      </c>
      <c r="M61" s="2"/>
      <c r="N61" s="6">
        <f t="shared" si="39"/>
        <v>-0.66666666666666663</v>
      </c>
      <c r="O61" s="11"/>
      <c r="P61" s="7">
        <v>5550</v>
      </c>
      <c r="Q61" s="2"/>
      <c r="R61" s="6">
        <f t="shared" si="40"/>
        <v>2.7455338326939947E-2</v>
      </c>
      <c r="S61" s="2"/>
      <c r="T61" s="7">
        <v>5550</v>
      </c>
      <c r="U61" s="2"/>
      <c r="V61" s="6">
        <f t="shared" si="41"/>
        <v>0.38618098319590854</v>
      </c>
      <c r="W61" s="2"/>
      <c r="X61" s="7">
        <f t="shared" si="42"/>
        <v>0</v>
      </c>
      <c r="Y61" s="2"/>
      <c r="Z61" s="6">
        <f t="shared" si="43"/>
        <v>0</v>
      </c>
    </row>
    <row r="62" spans="1:26" s="27" customFormat="1" outlineLevel="1" collapsed="1" x14ac:dyDescent="0.25">
      <c r="A62" s="29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SUM(OSRRefD22_13x_0)</f>
        <v>3206.37</v>
      </c>
      <c r="E62" s="1"/>
      <c r="F62" s="5">
        <f t="shared" si="36"/>
        <v>2.4633043804267493E-2</v>
      </c>
      <c r="G62" s="1"/>
      <c r="H62" s="1">
        <f>SUM(OSRRefH22_13x_0)</f>
        <v>2608.58</v>
      </c>
      <c r="I62" s="1"/>
      <c r="J62" s="5">
        <f t="shared" si="37"/>
        <v>0.30060903585648191</v>
      </c>
      <c r="K62" s="1"/>
      <c r="L62" s="1">
        <f t="shared" si="38"/>
        <v>597.79</v>
      </c>
      <c r="M62" s="1"/>
      <c r="N62" s="5">
        <f t="shared" si="39"/>
        <v>0.22916299289268491</v>
      </c>
      <c r="O62" s="14"/>
      <c r="P62" s="1">
        <f>SUM(OSRRefP22_13x_0)</f>
        <v>28831.62</v>
      </c>
      <c r="Q62" s="1"/>
      <c r="R62" s="5">
        <f t="shared" si="40"/>
        <v>0.14262736605653484</v>
      </c>
      <c r="S62" s="1"/>
      <c r="T62" s="1">
        <f>SUM(OSRRefT22_13x_0)</f>
        <v>11007.75</v>
      </c>
      <c r="U62" s="1"/>
      <c r="V62" s="5">
        <f t="shared" si="41"/>
        <v>0.76594301221166894</v>
      </c>
      <c r="W62" s="1"/>
      <c r="X62" s="1">
        <f t="shared" si="42"/>
        <v>17823.87</v>
      </c>
      <c r="Y62" s="1"/>
      <c r="Z62" s="5">
        <f t="shared" si="43"/>
        <v>1.6192110104244737</v>
      </c>
    </row>
    <row r="63" spans="1:26" s="24" customFormat="1" hidden="1" outlineLevel="2" x14ac:dyDescent="0.25">
      <c r="A63" s="28"/>
      <c r="B63" s="11" t="str">
        <f>CONCATENATE("          ", "6371", " - ", "COMPUTER SOFTWARE MAINTENANCE")</f>
        <v xml:space="preserve">          6371 - COMPUTER SOFTWARE MAINTENANCE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5177.72</v>
      </c>
      <c r="Q63" s="2"/>
      <c r="R63" s="6">
        <f t="shared" si="40"/>
        <v>2.561370348867811E-2</v>
      </c>
      <c r="S63" s="2"/>
      <c r="T63" s="7"/>
      <c r="U63" s="2"/>
      <c r="V63" s="6">
        <f t="shared" si="41"/>
        <v>0</v>
      </c>
      <c r="W63" s="2"/>
      <c r="X63" s="7">
        <f t="shared" si="42"/>
        <v>5177.72</v>
      </c>
      <c r="Y63" s="2"/>
      <c r="Z63" s="6">
        <f t="shared" si="43"/>
        <v>0</v>
      </c>
    </row>
    <row r="64" spans="1:26" s="24" customFormat="1" hidden="1" outlineLevel="2" x14ac:dyDescent="0.25">
      <c r="A64" s="28"/>
      <c r="B64" s="11" t="str">
        <f>CONCATENATE("          ", "6373", " - ", "MAINTENANCE CONTRACTS")</f>
        <v xml:space="preserve">          6373 - MAINTENANCE CONTRACTS</v>
      </c>
      <c r="C64" s="11"/>
      <c r="D64" s="7">
        <v>885.91</v>
      </c>
      <c r="E64" s="2"/>
      <c r="F64" s="6">
        <f t="shared" si="36"/>
        <v>6.8060329396291185E-3</v>
      </c>
      <c r="G64" s="2"/>
      <c r="H64" s="7">
        <v>1656.76</v>
      </c>
      <c r="I64" s="2"/>
      <c r="J64" s="6">
        <f t="shared" si="37"/>
        <v>0.19092265763196259</v>
      </c>
      <c r="K64" s="2"/>
      <c r="L64" s="7">
        <f t="shared" si="38"/>
        <v>-770.85</v>
      </c>
      <c r="M64" s="2"/>
      <c r="N64" s="6">
        <f t="shared" si="39"/>
        <v>-0.46527559815543595</v>
      </c>
      <c r="O64" s="11"/>
      <c r="P64" s="7">
        <v>886.78</v>
      </c>
      <c r="Q64" s="2"/>
      <c r="R64" s="6">
        <f t="shared" si="40"/>
        <v>4.3868189047862717E-3</v>
      </c>
      <c r="S64" s="2"/>
      <c r="T64" s="7">
        <v>5697.71</v>
      </c>
      <c r="U64" s="2"/>
      <c r="V64" s="6">
        <f t="shared" si="41"/>
        <v>0.39645896392165048</v>
      </c>
      <c r="W64" s="2"/>
      <c r="X64" s="7">
        <f t="shared" si="42"/>
        <v>-4810.93</v>
      </c>
      <c r="Y64" s="2"/>
      <c r="Z64" s="6">
        <f t="shared" si="43"/>
        <v>-0.8443620331677113</v>
      </c>
    </row>
    <row r="65" spans="1:26" s="24" customFormat="1" hidden="1" outlineLevel="2" x14ac:dyDescent="0.25">
      <c r="A65" s="28"/>
      <c r="B65" s="11" t="str">
        <f>CONCATENATE("          ", "6375", " - ", "OUTSIDE REPAIRS &amp; MAINTENANCE")</f>
        <v xml:space="preserve">          6375 - OUTSIDE REPAIRS &amp; MAINTENANCE</v>
      </c>
      <c r="C65" s="11"/>
      <c r="D65" s="7">
        <v>2320.46</v>
      </c>
      <c r="E65" s="2"/>
      <c r="F65" s="6">
        <f t="shared" si="36"/>
        <v>1.7827010864638376E-2</v>
      </c>
      <c r="G65" s="2"/>
      <c r="H65" s="7">
        <v>951.82</v>
      </c>
      <c r="I65" s="2"/>
      <c r="J65" s="6">
        <f t="shared" si="37"/>
        <v>0.10968637822451932</v>
      </c>
      <c r="K65" s="2"/>
      <c r="L65" s="7">
        <f t="shared" si="38"/>
        <v>1368.6399999999999</v>
      </c>
      <c r="M65" s="2"/>
      <c r="N65" s="6">
        <f t="shared" si="39"/>
        <v>1.4379189342522745</v>
      </c>
      <c r="O65" s="11"/>
      <c r="P65" s="7">
        <v>22767.119999999999</v>
      </c>
      <c r="Q65" s="2"/>
      <c r="R65" s="6">
        <f t="shared" si="40"/>
        <v>0.11262684366307045</v>
      </c>
      <c r="S65" s="2"/>
      <c r="T65" s="7">
        <v>5310.04</v>
      </c>
      <c r="U65" s="2"/>
      <c r="V65" s="6">
        <f t="shared" si="41"/>
        <v>0.36948404829001846</v>
      </c>
      <c r="W65" s="2"/>
      <c r="X65" s="7">
        <f t="shared" si="42"/>
        <v>17457.079999999998</v>
      </c>
      <c r="Y65" s="2"/>
      <c r="Z65" s="6">
        <f t="shared" si="43"/>
        <v>3.2875609223282685</v>
      </c>
    </row>
    <row r="66" spans="1:26" s="27" customFormat="1" outlineLevel="1" collapsed="1" x14ac:dyDescent="0.25">
      <c r="A66" s="29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SUM(OSRRefD22_14x_0)</f>
        <v>8395.5499999999993</v>
      </c>
      <c r="E66" s="1"/>
      <c r="F66" s="5">
        <f t="shared" ref="F66:F70" si="44">IF(D$12=0,0,D66/D$12)</f>
        <v>6.4499091156328792E-2</v>
      </c>
      <c r="G66" s="1"/>
      <c r="H66" s="1">
        <f>SUM(OSRRefH22_14x_0)</f>
        <v>4131.68</v>
      </c>
      <c r="I66" s="1"/>
      <c r="J66" s="5">
        <f t="shared" ref="J66:J70" si="45">IF(H$12=0,0,H66/H$12)</f>
        <v>0.476128905867372</v>
      </c>
      <c r="K66" s="1"/>
      <c r="L66" s="1">
        <f t="shared" ref="L66:L70" si="46">+D66-H66</f>
        <v>4263.869999999999</v>
      </c>
      <c r="M66" s="1"/>
      <c r="N66" s="5">
        <f t="shared" ref="N66:N70" si="47">IF(H66=0,0,L66/H66)</f>
        <v>1.031994249312628</v>
      </c>
      <c r="O66" s="14"/>
      <c r="P66" s="1">
        <f>SUM(OSRRefP22_14x_0)</f>
        <v>28998.550000000003</v>
      </c>
      <c r="Q66" s="1"/>
      <c r="R66" s="5">
        <f t="shared" ref="R66:R70" si="48">IF(P$12=0,0,P66/P$12)</f>
        <v>0.14345315337669992</v>
      </c>
      <c r="S66" s="1"/>
      <c r="T66" s="1">
        <f>SUM(OSRRefT22_14x_0)</f>
        <v>10528.06</v>
      </c>
      <c r="U66" s="1"/>
      <c r="V66" s="5">
        <f t="shared" ref="V66:V70" si="49">IF(T$12=0,0,T66/T$12)</f>
        <v>0.7325651462964895</v>
      </c>
      <c r="W66" s="1"/>
      <c r="X66" s="1">
        <f t="shared" ref="X66:X70" si="50">+P66-T66</f>
        <v>18470.490000000005</v>
      </c>
      <c r="Y66" s="1"/>
      <c r="Z66" s="5">
        <f t="shared" ref="Z66:Z70" si="51">IF(T66=0,0,X66/T66)</f>
        <v>1.7544058449514921</v>
      </c>
    </row>
    <row r="67" spans="1:26" s="24" customFormat="1" hidden="1" outlineLevel="2" x14ac:dyDescent="0.25">
      <c r="A67" s="28"/>
      <c r="B67" s="11" t="str">
        <f>CONCATENATE("          ", "6282", " - ", "JANITORIAL/EXTERMINATOR EXPENS")</f>
        <v xml:space="preserve">          6282 - JANITORIAL/EXTERMINATOR EXPENS</v>
      </c>
      <c r="C67" s="11"/>
      <c r="D67" s="7">
        <v>1021.65</v>
      </c>
      <c r="E67" s="2"/>
      <c r="F67" s="6">
        <f t="shared" si="44"/>
        <v>7.8488599889064217E-3</v>
      </c>
      <c r="G67" s="2"/>
      <c r="H67" s="7">
        <v>8.36</v>
      </c>
      <c r="I67" s="2"/>
      <c r="J67" s="6">
        <f t="shared" si="45"/>
        <v>9.6339446739612681E-4</v>
      </c>
      <c r="K67" s="2"/>
      <c r="L67" s="7">
        <f t="shared" si="46"/>
        <v>1013.29</v>
      </c>
      <c r="M67" s="2"/>
      <c r="N67" s="6">
        <f t="shared" si="47"/>
        <v>121.20693779904306</v>
      </c>
      <c r="O67" s="11"/>
      <c r="P67" s="7">
        <v>2713.4</v>
      </c>
      <c r="Q67" s="2"/>
      <c r="R67" s="6">
        <f t="shared" si="48"/>
        <v>1.3422939642579974E-2</v>
      </c>
      <c r="S67" s="2"/>
      <c r="T67" s="7">
        <v>780.87</v>
      </c>
      <c r="U67" s="2"/>
      <c r="V67" s="6">
        <f t="shared" si="49"/>
        <v>5.4334620603277317E-2</v>
      </c>
      <c r="W67" s="2"/>
      <c r="X67" s="7">
        <f t="shared" si="50"/>
        <v>1932.5300000000002</v>
      </c>
      <c r="Y67" s="2"/>
      <c r="Z67" s="6">
        <f t="shared" si="51"/>
        <v>2.4748421632281943</v>
      </c>
    </row>
    <row r="68" spans="1:26" s="24" customFormat="1" hidden="1" outlineLevel="2" x14ac:dyDescent="0.25">
      <c r="A68" s="28"/>
      <c r="B68" s="11" t="str">
        <f>CONCATENATE("          ", "6284", " - ", "TRASH REMOVAL EXPENSE")</f>
        <v xml:space="preserve">          6284 - TRASH REMOVAL EXPENSE</v>
      </c>
      <c r="C68" s="11"/>
      <c r="D68" s="7"/>
      <c r="E68" s="2"/>
      <c r="F68" s="6">
        <f t="shared" si="44"/>
        <v>0</v>
      </c>
      <c r="G68" s="2"/>
      <c r="H68" s="7">
        <v>761</v>
      </c>
      <c r="I68" s="2"/>
      <c r="J68" s="6">
        <f t="shared" si="45"/>
        <v>8.7696553790484758E-2</v>
      </c>
      <c r="K68" s="2"/>
      <c r="L68" s="7">
        <f t="shared" si="46"/>
        <v>-761</v>
      </c>
      <c r="M68" s="2"/>
      <c r="N68" s="6">
        <f t="shared" si="47"/>
        <v>-1</v>
      </c>
      <c r="O68" s="11"/>
      <c r="P68" s="7"/>
      <c r="Q68" s="2"/>
      <c r="R68" s="6">
        <f t="shared" si="48"/>
        <v>0</v>
      </c>
      <c r="S68" s="2"/>
      <c r="T68" s="7">
        <v>2761</v>
      </c>
      <c r="U68" s="2"/>
      <c r="V68" s="6">
        <f t="shared" si="49"/>
        <v>0.19211634137007272</v>
      </c>
      <c r="W68" s="2"/>
      <c r="X68" s="7">
        <f t="shared" si="50"/>
        <v>-2761</v>
      </c>
      <c r="Y68" s="2"/>
      <c r="Z68" s="6">
        <f t="shared" si="51"/>
        <v>-1</v>
      </c>
    </row>
    <row r="69" spans="1:26" s="24" customFormat="1" hidden="1" outlineLevel="2" x14ac:dyDescent="0.25">
      <c r="A69" s="28"/>
      <c r="B69" s="11" t="str">
        <f>CONCATENATE("          ", "6285", " - ", "JANITORIAL SERVICES")</f>
        <v xml:space="preserve">          6285 - JANITORIAL SERVICES</v>
      </c>
      <c r="C69" s="11"/>
      <c r="D69" s="7">
        <v>7166.13</v>
      </c>
      <c r="E69" s="2"/>
      <c r="F69" s="6">
        <f t="shared" si="44"/>
        <v>5.5054031255617857E-2</v>
      </c>
      <c r="G69" s="2"/>
      <c r="H69" s="7">
        <v>3256.35</v>
      </c>
      <c r="I69" s="2"/>
      <c r="J69" s="6">
        <f t="shared" si="45"/>
        <v>0.37525712606523653</v>
      </c>
      <c r="K69" s="2"/>
      <c r="L69" s="7">
        <f t="shared" si="46"/>
        <v>3909.78</v>
      </c>
      <c r="M69" s="2"/>
      <c r="N69" s="6">
        <f t="shared" si="47"/>
        <v>1.200663319360634</v>
      </c>
      <c r="O69" s="11"/>
      <c r="P69" s="7">
        <v>25757.9</v>
      </c>
      <c r="Q69" s="2"/>
      <c r="R69" s="6">
        <f t="shared" si="48"/>
        <v>0.12742195659306063</v>
      </c>
      <c r="S69" s="2"/>
      <c r="T69" s="7">
        <v>6411.93</v>
      </c>
      <c r="U69" s="2"/>
      <c r="V69" s="6">
        <f t="shared" si="49"/>
        <v>0.44615593361862022</v>
      </c>
      <c r="W69" s="2"/>
      <c r="X69" s="7">
        <f t="shared" si="50"/>
        <v>19345.97</v>
      </c>
      <c r="Y69" s="2"/>
      <c r="Z69" s="6">
        <f t="shared" si="51"/>
        <v>3.017183593707355</v>
      </c>
    </row>
    <row r="70" spans="1:26" s="24" customFormat="1" hidden="1" outlineLevel="2" x14ac:dyDescent="0.25">
      <c r="A70" s="28"/>
      <c r="B70" s="11" t="str">
        <f>CONCATENATE("          ", "6286", " - ", "LAUNDRY EXPENSE")</f>
        <v xml:space="preserve">          6286 - LAUNDRY EXPENSE</v>
      </c>
      <c r="C70" s="11"/>
      <c r="D70" s="7">
        <v>207.77</v>
      </c>
      <c r="E70" s="2"/>
      <c r="F70" s="6">
        <f t="shared" si="44"/>
        <v>1.5961999118045197E-3</v>
      </c>
      <c r="G70" s="2"/>
      <c r="H70" s="7">
        <v>105.97</v>
      </c>
      <c r="I70" s="2"/>
      <c r="J70" s="6">
        <f t="shared" si="45"/>
        <v>1.2211831544254493E-2</v>
      </c>
      <c r="K70" s="2"/>
      <c r="L70" s="7">
        <f t="shared" si="46"/>
        <v>101.80000000000001</v>
      </c>
      <c r="M70" s="2"/>
      <c r="N70" s="6">
        <f t="shared" si="47"/>
        <v>0.96064924035104282</v>
      </c>
      <c r="O70" s="11"/>
      <c r="P70" s="7">
        <v>527.25</v>
      </c>
      <c r="Q70" s="2"/>
      <c r="R70" s="6">
        <f t="shared" si="48"/>
        <v>2.608257141059295E-3</v>
      </c>
      <c r="S70" s="2"/>
      <c r="T70" s="7">
        <v>574.26</v>
      </c>
      <c r="U70" s="2"/>
      <c r="V70" s="6">
        <f t="shared" si="49"/>
        <v>3.995825070451936E-2</v>
      </c>
      <c r="W70" s="2"/>
      <c r="X70" s="7">
        <f t="shared" si="50"/>
        <v>-47.009999999999991</v>
      </c>
      <c r="Y70" s="2"/>
      <c r="Z70" s="6">
        <f t="shared" si="51"/>
        <v>-8.1861874412287108E-2</v>
      </c>
    </row>
    <row r="71" spans="1:26" s="27" customFormat="1" outlineLevel="1" collapsed="1" x14ac:dyDescent="0.25">
      <c r="A71" s="29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SUM(OSRRefD22_15x_0)</f>
        <v>408.93</v>
      </c>
      <c r="E71" s="1"/>
      <c r="F71" s="5">
        <f t="shared" ref="F71:F80" si="52">IF(D$12=0,0,D71/D$12)</f>
        <v>3.1416182795120672E-3</v>
      </c>
      <c r="G71" s="1"/>
      <c r="H71" s="1">
        <f>SUM(OSRRefH22_15x_0)</f>
        <v>131.34</v>
      </c>
      <c r="I71" s="1"/>
      <c r="J71" s="5">
        <f t="shared" ref="J71:J80" si="53">IF(H$12=0,0,H71/H$12)</f>
        <v>1.5135434132512835E-2</v>
      </c>
      <c r="K71" s="1"/>
      <c r="L71" s="1">
        <f t="shared" ref="L71:L80" si="54">+D71-H71</f>
        <v>277.59000000000003</v>
      </c>
      <c r="M71" s="1"/>
      <c r="N71" s="5">
        <f t="shared" ref="N71:N80" si="55">IF(H71=0,0,L71/H71)</f>
        <v>2.1135221562357245</v>
      </c>
      <c r="O71" s="14"/>
      <c r="P71" s="1">
        <f>SUM(OSRRefP22_15x_0)</f>
        <v>1133.19</v>
      </c>
      <c r="Q71" s="1"/>
      <c r="R71" s="5">
        <f t="shared" ref="R71:R80" si="56">IF(P$12=0,0,P71/P$12)</f>
        <v>5.6057864574243386E-3</v>
      </c>
      <c r="S71" s="1"/>
      <c r="T71" s="1">
        <f>SUM(OSRRefT22_15x_0)</f>
        <v>140.66</v>
      </c>
      <c r="U71" s="1"/>
      <c r="V71" s="5">
        <f t="shared" ref="V71:V80" si="57">IF(T$12=0,0,T71/T$12)</f>
        <v>9.7874265038444142E-3</v>
      </c>
      <c r="W71" s="1"/>
      <c r="X71" s="1">
        <f t="shared" ref="X71:X80" si="58">+P71-T71</f>
        <v>992.53000000000009</v>
      </c>
      <c r="Y71" s="1"/>
      <c r="Z71" s="5">
        <f t="shared" ref="Z71:Z80" si="59">IF(T71=0,0,X71/T71)</f>
        <v>7.0562348926489413</v>
      </c>
    </row>
    <row r="72" spans="1:26" s="24" customFormat="1" hidden="1" outlineLevel="2" x14ac:dyDescent="0.25">
      <c r="A72" s="28"/>
      <c r="B72" s="11" t="str">
        <f>CONCATENATE("          ", "6275", " - ", "SUBSCRIPTIONS")</f>
        <v xml:space="preserve">          6275 - SUBSCRIPTIONS</v>
      </c>
      <c r="C72" s="11"/>
      <c r="D72" s="7">
        <v>408.93</v>
      </c>
      <c r="E72" s="2"/>
      <c r="F72" s="6">
        <f t="shared" si="52"/>
        <v>3.1416182795120672E-3</v>
      </c>
      <c r="G72" s="2"/>
      <c r="H72" s="7">
        <v>131.34</v>
      </c>
      <c r="I72" s="2"/>
      <c r="J72" s="6">
        <f t="shared" si="53"/>
        <v>1.5135434132512835E-2</v>
      </c>
      <c r="K72" s="2"/>
      <c r="L72" s="7">
        <f t="shared" si="54"/>
        <v>277.59000000000003</v>
      </c>
      <c r="M72" s="2"/>
      <c r="N72" s="6">
        <f t="shared" si="55"/>
        <v>2.1135221562357245</v>
      </c>
      <c r="O72" s="11"/>
      <c r="P72" s="7">
        <v>1133.19</v>
      </c>
      <c r="Q72" s="2"/>
      <c r="R72" s="6">
        <f t="shared" si="56"/>
        <v>5.6057864574243386E-3</v>
      </c>
      <c r="S72" s="2"/>
      <c r="T72" s="7">
        <v>140.66</v>
      </c>
      <c r="U72" s="2"/>
      <c r="V72" s="6">
        <f t="shared" si="57"/>
        <v>9.7874265038444142E-3</v>
      </c>
      <c r="W72" s="2"/>
      <c r="X72" s="7">
        <f t="shared" si="58"/>
        <v>992.53000000000009</v>
      </c>
      <c r="Y72" s="2"/>
      <c r="Z72" s="6">
        <f t="shared" si="59"/>
        <v>7.0562348926489413</v>
      </c>
    </row>
    <row r="73" spans="1:26" s="27" customFormat="1" outlineLevel="1" collapsed="1" x14ac:dyDescent="0.25">
      <c r="A73" s="29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SUM(OSRRefD22_16x_0)</f>
        <v>3070.52</v>
      </c>
      <c r="E73" s="1"/>
      <c r="F73" s="5">
        <f t="shared" si="52"/>
        <v>2.35893716763441E-2</v>
      </c>
      <c r="G73" s="1"/>
      <c r="H73" s="1">
        <f>SUM(OSRRefH22_16x_0)</f>
        <v>137.26</v>
      </c>
      <c r="I73" s="1"/>
      <c r="J73" s="5">
        <f t="shared" si="53"/>
        <v>1.5817646482630666E-2</v>
      </c>
      <c r="K73" s="1"/>
      <c r="L73" s="1">
        <f t="shared" si="54"/>
        <v>2933.26</v>
      </c>
      <c r="M73" s="1"/>
      <c r="N73" s="5">
        <f t="shared" si="55"/>
        <v>21.370100539122834</v>
      </c>
      <c r="O73" s="14"/>
      <c r="P73" s="1">
        <f>SUM(OSRRefP22_16x_0)</f>
        <v>7922.0500000000011</v>
      </c>
      <c r="Q73" s="1"/>
      <c r="R73" s="5">
        <f t="shared" si="56"/>
        <v>3.9189650989717953E-2</v>
      </c>
      <c r="S73" s="1"/>
      <c r="T73" s="1">
        <f>SUM(OSRRefT22_16x_0)</f>
        <v>-28035.440000000002</v>
      </c>
      <c r="U73" s="1"/>
      <c r="V73" s="5">
        <f t="shared" si="57"/>
        <v>-1.9507664474828657</v>
      </c>
      <c r="W73" s="1"/>
      <c r="X73" s="1">
        <f t="shared" si="58"/>
        <v>35957.490000000005</v>
      </c>
      <c r="Y73" s="1"/>
      <c r="Z73" s="5">
        <f t="shared" si="59"/>
        <v>-1.2825727008386529</v>
      </c>
    </row>
    <row r="74" spans="1:26" s="24" customFormat="1" hidden="1" outlineLevel="2" x14ac:dyDescent="0.25">
      <c r="A74" s="28"/>
      <c r="B74" s="11" t="str">
        <f>CONCATENATE("          ", "6234", " - ", "EXPENDABLE SUPPLIES &amp; EQUIPMEN")</f>
        <v xml:space="preserve">          6234 - EXPENDABLE SUPPLIES &amp; EQUIPMEN</v>
      </c>
      <c r="C74" s="11"/>
      <c r="D74" s="7"/>
      <c r="E74" s="2"/>
      <c r="F74" s="6">
        <f t="shared" si="52"/>
        <v>0</v>
      </c>
      <c r="G74" s="2"/>
      <c r="H74" s="7"/>
      <c r="I74" s="2"/>
      <c r="J74" s="6">
        <f t="shared" si="53"/>
        <v>0</v>
      </c>
      <c r="K74" s="2"/>
      <c r="L74" s="7">
        <f t="shared" si="54"/>
        <v>0</v>
      </c>
      <c r="M74" s="2"/>
      <c r="N74" s="6">
        <f t="shared" si="55"/>
        <v>0</v>
      </c>
      <c r="O74" s="11"/>
      <c r="P74" s="7"/>
      <c r="Q74" s="2"/>
      <c r="R74" s="6">
        <f t="shared" si="56"/>
        <v>0</v>
      </c>
      <c r="S74" s="2"/>
      <c r="T74" s="7">
        <v>255.78</v>
      </c>
      <c r="U74" s="2"/>
      <c r="V74" s="6">
        <f t="shared" si="57"/>
        <v>1.7797724663396304E-2</v>
      </c>
      <c r="W74" s="2"/>
      <c r="X74" s="7">
        <f t="shared" si="58"/>
        <v>-255.78</v>
      </c>
      <c r="Y74" s="2"/>
      <c r="Z74" s="6">
        <f t="shared" si="59"/>
        <v>-1</v>
      </c>
    </row>
    <row r="75" spans="1:26" s="24" customFormat="1" hidden="1" outlineLevel="2" x14ac:dyDescent="0.25">
      <c r="A75" s="28"/>
      <c r="B75" s="11" t="str">
        <f>CONCATENATE("          ", "6235", " - ", "COVID-19 EXPENSES")</f>
        <v xml:space="preserve">          6235 - COVID-19 EXPENSES</v>
      </c>
      <c r="C75" s="11"/>
      <c r="D75" s="7">
        <v>193.5</v>
      </c>
      <c r="E75" s="2"/>
      <c r="F75" s="6">
        <f t="shared" si="52"/>
        <v>1.4865701638069719E-3</v>
      </c>
      <c r="G75" s="2"/>
      <c r="H75" s="7">
        <v>127.89</v>
      </c>
      <c r="I75" s="2"/>
      <c r="J75" s="6">
        <f t="shared" si="53"/>
        <v>1.4737861056852951E-2</v>
      </c>
      <c r="K75" s="2"/>
      <c r="L75" s="7">
        <f t="shared" si="54"/>
        <v>65.61</v>
      </c>
      <c r="M75" s="2"/>
      <c r="N75" s="6">
        <f t="shared" si="55"/>
        <v>0.51301900070372974</v>
      </c>
      <c r="O75" s="11"/>
      <c r="P75" s="7">
        <v>193.5</v>
      </c>
      <c r="Q75" s="2"/>
      <c r="R75" s="6">
        <f t="shared" si="56"/>
        <v>9.5722666058790636E-4</v>
      </c>
      <c r="S75" s="2"/>
      <c r="T75" s="7">
        <v>949.86</v>
      </c>
      <c r="U75" s="2"/>
      <c r="V75" s="6">
        <f t="shared" si="57"/>
        <v>6.6093309675399226E-2</v>
      </c>
      <c r="W75" s="2"/>
      <c r="X75" s="7">
        <f t="shared" si="58"/>
        <v>-756.36</v>
      </c>
      <c r="Y75" s="2"/>
      <c r="Z75" s="6">
        <f t="shared" si="59"/>
        <v>-0.79628576842903165</v>
      </c>
    </row>
    <row r="76" spans="1:26" s="24" customFormat="1" hidden="1" outlineLevel="2" x14ac:dyDescent="0.25">
      <c r="A76" s="28"/>
      <c r="B76" s="11" t="str">
        <f>CONCATENATE("          ", "6237", " - ", "JANITORIAL SUPPLIES")</f>
        <v xml:space="preserve">          6237 - JANITORIAL SUPPLIES</v>
      </c>
      <c r="C76" s="11"/>
      <c r="D76" s="7">
        <v>1597.32</v>
      </c>
      <c r="E76" s="2"/>
      <c r="F76" s="6">
        <f t="shared" si="52"/>
        <v>1.227146384523076E-2</v>
      </c>
      <c r="G76" s="2"/>
      <c r="H76" s="7"/>
      <c r="I76" s="2"/>
      <c r="J76" s="6">
        <f t="shared" si="53"/>
        <v>0</v>
      </c>
      <c r="K76" s="2"/>
      <c r="L76" s="7">
        <f t="shared" si="54"/>
        <v>1597.32</v>
      </c>
      <c r="M76" s="2"/>
      <c r="N76" s="6">
        <f t="shared" si="55"/>
        <v>0</v>
      </c>
      <c r="O76" s="11"/>
      <c r="P76" s="7">
        <v>3644.73</v>
      </c>
      <c r="Q76" s="2"/>
      <c r="R76" s="6">
        <f t="shared" si="56"/>
        <v>1.8030143290152765E-2</v>
      </c>
      <c r="S76" s="2"/>
      <c r="T76" s="7"/>
      <c r="U76" s="2"/>
      <c r="V76" s="6">
        <f t="shared" si="57"/>
        <v>0</v>
      </c>
      <c r="W76" s="2"/>
      <c r="X76" s="7">
        <f t="shared" si="58"/>
        <v>3644.73</v>
      </c>
      <c r="Y76" s="2"/>
      <c r="Z76" s="6">
        <f t="shared" si="59"/>
        <v>0</v>
      </c>
    </row>
    <row r="77" spans="1:26" s="24" customFormat="1" hidden="1" outlineLevel="2" x14ac:dyDescent="0.25">
      <c r="A77" s="28"/>
      <c r="B77" s="11" t="str">
        <f>CONCATENATE("          ", "6239", " - ", "KITCHEN SUPPLIES")</f>
        <v xml:space="preserve">          6239 - KITCHEN SUPPLIES</v>
      </c>
      <c r="C77" s="11"/>
      <c r="D77" s="7">
        <v>820.56</v>
      </c>
      <c r="E77" s="2"/>
      <c r="F77" s="6">
        <f t="shared" si="52"/>
        <v>6.3039793985191148E-3</v>
      </c>
      <c r="G77" s="2"/>
      <c r="H77" s="7"/>
      <c r="I77" s="2"/>
      <c r="J77" s="6">
        <f t="shared" si="53"/>
        <v>0</v>
      </c>
      <c r="K77" s="2"/>
      <c r="L77" s="7">
        <f t="shared" si="54"/>
        <v>820.56</v>
      </c>
      <c r="M77" s="2"/>
      <c r="N77" s="6">
        <f t="shared" si="55"/>
        <v>0</v>
      </c>
      <c r="O77" s="11"/>
      <c r="P77" s="7">
        <v>1071.19</v>
      </c>
      <c r="Q77" s="2"/>
      <c r="R77" s="6">
        <f t="shared" si="56"/>
        <v>5.2990781734116761E-3</v>
      </c>
      <c r="S77" s="2"/>
      <c r="T77" s="7"/>
      <c r="U77" s="2"/>
      <c r="V77" s="6">
        <f t="shared" si="57"/>
        <v>0</v>
      </c>
      <c r="W77" s="2"/>
      <c r="X77" s="7">
        <f t="shared" si="58"/>
        <v>1071.19</v>
      </c>
      <c r="Y77" s="2"/>
      <c r="Z77" s="6">
        <f t="shared" si="59"/>
        <v>0</v>
      </c>
    </row>
    <row r="78" spans="1:26" s="24" customFormat="1" hidden="1" outlineLevel="2" x14ac:dyDescent="0.25">
      <c r="A78" s="28"/>
      <c r="B78" s="11" t="str">
        <f>CONCATENATE("          ", "6241", " - ", "OFFICE EXPENSE")</f>
        <v xml:space="preserve">          6241 - OFFICE EXPENSE</v>
      </c>
      <c r="C78" s="11"/>
      <c r="D78" s="7">
        <v>194.6</v>
      </c>
      <c r="E78" s="2"/>
      <c r="F78" s="6">
        <f t="shared" si="52"/>
        <v>1.4950209502678899E-3</v>
      </c>
      <c r="G78" s="2"/>
      <c r="H78" s="7">
        <v>9.3699999999999992</v>
      </c>
      <c r="I78" s="2"/>
      <c r="J78" s="6">
        <f t="shared" si="53"/>
        <v>1.0797854257777162E-3</v>
      </c>
      <c r="K78" s="2"/>
      <c r="L78" s="7">
        <f t="shared" si="54"/>
        <v>185.23</v>
      </c>
      <c r="M78" s="2"/>
      <c r="N78" s="6">
        <f t="shared" si="55"/>
        <v>19.768409818569904</v>
      </c>
      <c r="O78" s="11"/>
      <c r="P78" s="7">
        <v>2061.86</v>
      </c>
      <c r="Q78" s="2"/>
      <c r="R78" s="6">
        <f t="shared" si="56"/>
        <v>1.0199831330231425E-2</v>
      </c>
      <c r="S78" s="2"/>
      <c r="T78" s="7">
        <v>-29241.08</v>
      </c>
      <c r="U78" s="2"/>
      <c r="V78" s="6">
        <f t="shared" si="57"/>
        <v>-2.034657481821661</v>
      </c>
      <c r="W78" s="2"/>
      <c r="X78" s="7">
        <f t="shared" si="58"/>
        <v>31302.940000000002</v>
      </c>
      <c r="Y78" s="2"/>
      <c r="Z78" s="6">
        <f t="shared" si="59"/>
        <v>-1.070512443452841</v>
      </c>
    </row>
    <row r="79" spans="1:26" s="24" customFormat="1" hidden="1" outlineLevel="2" x14ac:dyDescent="0.25">
      <c r="A79" s="28"/>
      <c r="B79" s="11" t="str">
        <f>CONCATENATE("          ", "6243", " - ", "PAPER SUPPLIES")</f>
        <v xml:space="preserve">          6243 - PAPER SUPPLIES</v>
      </c>
      <c r="C79" s="11"/>
      <c r="D79" s="7">
        <v>50.56</v>
      </c>
      <c r="E79" s="2"/>
      <c r="F79" s="6">
        <f t="shared" si="52"/>
        <v>3.88428875876385E-4</v>
      </c>
      <c r="G79" s="2"/>
      <c r="H79" s="7"/>
      <c r="I79" s="2"/>
      <c r="J79" s="6">
        <f t="shared" si="53"/>
        <v>0</v>
      </c>
      <c r="K79" s="2"/>
      <c r="L79" s="7">
        <f t="shared" si="54"/>
        <v>50.56</v>
      </c>
      <c r="M79" s="2"/>
      <c r="N79" s="6">
        <f t="shared" si="55"/>
        <v>0</v>
      </c>
      <c r="O79" s="11"/>
      <c r="P79" s="7">
        <v>536.79</v>
      </c>
      <c r="Q79" s="2"/>
      <c r="R79" s="6">
        <f t="shared" si="56"/>
        <v>2.6554506415347916E-3</v>
      </c>
      <c r="S79" s="2"/>
      <c r="T79" s="7"/>
      <c r="U79" s="2"/>
      <c r="V79" s="6">
        <f t="shared" si="57"/>
        <v>0</v>
      </c>
      <c r="W79" s="2"/>
      <c r="X79" s="7">
        <f t="shared" si="58"/>
        <v>536.79</v>
      </c>
      <c r="Y79" s="2"/>
      <c r="Z79" s="6">
        <f t="shared" si="59"/>
        <v>0</v>
      </c>
    </row>
    <row r="80" spans="1:26" s="24" customFormat="1" hidden="1" outlineLevel="2" x14ac:dyDescent="0.25">
      <c r="A80" s="28"/>
      <c r="B80" s="11" t="str">
        <f>CONCATENATE("          ", "6247", " - ", "STORE SUPPLIES")</f>
        <v xml:space="preserve">          6247 - STORE SUPPLIES</v>
      </c>
      <c r="C80" s="11"/>
      <c r="D80" s="7">
        <v>213.98</v>
      </c>
      <c r="E80" s="2"/>
      <c r="F80" s="6">
        <f t="shared" si="52"/>
        <v>1.6439084426429758E-3</v>
      </c>
      <c r="G80" s="2"/>
      <c r="H80" s="7"/>
      <c r="I80" s="2"/>
      <c r="J80" s="6">
        <f t="shared" si="53"/>
        <v>0</v>
      </c>
      <c r="K80" s="2"/>
      <c r="L80" s="7">
        <f t="shared" si="54"/>
        <v>213.98</v>
      </c>
      <c r="M80" s="2"/>
      <c r="N80" s="6">
        <f t="shared" si="55"/>
        <v>0</v>
      </c>
      <c r="O80" s="11"/>
      <c r="P80" s="7">
        <v>413.98</v>
      </c>
      <c r="Q80" s="2"/>
      <c r="R80" s="6">
        <f t="shared" si="56"/>
        <v>2.0479208937993873E-3</v>
      </c>
      <c r="S80" s="2"/>
      <c r="T80" s="7"/>
      <c r="U80" s="2"/>
      <c r="V80" s="6">
        <f t="shared" si="57"/>
        <v>0</v>
      </c>
      <c r="W80" s="2"/>
      <c r="X80" s="7">
        <f t="shared" si="58"/>
        <v>413.98</v>
      </c>
      <c r="Y80" s="2"/>
      <c r="Z80" s="6">
        <f t="shared" si="59"/>
        <v>0</v>
      </c>
    </row>
    <row r="81" spans="1:26" s="27" customFormat="1" outlineLevel="1" collapsed="1" x14ac:dyDescent="0.25">
      <c r="A81" s="29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SUM(OSRRefD22_17x_0)</f>
        <v>647.28</v>
      </c>
      <c r="E81" s="1"/>
      <c r="F81" s="5">
        <f t="shared" ref="F81:F86" si="60">IF(D$12=0,0,D81/D$12)</f>
        <v>4.9727500549301123E-3</v>
      </c>
      <c r="G81" s="1"/>
      <c r="H81" s="1">
        <f>SUM(OSRRefH22_17x_0)</f>
        <v>638.63</v>
      </c>
      <c r="I81" s="1"/>
      <c r="J81" s="5">
        <f t="shared" ref="J81:J86" si="61">IF(H$12=0,0,H81/H$12)</f>
        <v>7.3594809654687621E-2</v>
      </c>
      <c r="K81" s="1"/>
      <c r="L81" s="1">
        <f t="shared" ref="L81:L86" si="62">+D81-H81</f>
        <v>8.6499999999999773</v>
      </c>
      <c r="M81" s="1"/>
      <c r="N81" s="5">
        <f t="shared" ref="N81:N86" si="63">IF(H81=0,0,L81/H81)</f>
        <v>1.3544618949939679E-2</v>
      </c>
      <c r="O81" s="14"/>
      <c r="P81" s="1">
        <f>SUM(OSRRefP22_17x_0)</f>
        <v>1892.78</v>
      </c>
      <c r="Q81" s="1"/>
      <c r="R81" s="5">
        <f t="shared" ref="R81:R86" si="64">IF(P$12=0,0,P81/P$12)</f>
        <v>9.3634081582820525E-3</v>
      </c>
      <c r="S81" s="1"/>
      <c r="T81" s="1">
        <f>SUM(OSRRefT22_17x_0)</f>
        <v>3071.41</v>
      </c>
      <c r="U81" s="1"/>
      <c r="V81" s="5">
        <f t="shared" ref="V81:V86" si="65">IF(T$12=0,0,T81/T$12)</f>
        <v>0.21371533938698117</v>
      </c>
      <c r="W81" s="1"/>
      <c r="X81" s="1">
        <f t="shared" ref="X81:X86" si="66">+P81-T81</f>
        <v>-1178.6299999999999</v>
      </c>
      <c r="Y81" s="1"/>
      <c r="Z81" s="5">
        <f t="shared" ref="Z81:Z86" si="67">IF(T81=0,0,X81/T81)</f>
        <v>-0.3837423203024018</v>
      </c>
    </row>
    <row r="82" spans="1:26" s="24" customFormat="1" hidden="1" outlineLevel="2" x14ac:dyDescent="0.25">
      <c r="A82" s="28"/>
      <c r="B82" s="11" t="str">
        <f>CONCATENATE("          ", "6309", " - ", "TELEPHONE")</f>
        <v xml:space="preserve">          6309 - TELEPHONE</v>
      </c>
      <c r="C82" s="11"/>
      <c r="D82" s="7">
        <v>647.28</v>
      </c>
      <c r="E82" s="2"/>
      <c r="F82" s="6">
        <f t="shared" si="60"/>
        <v>4.9727500549301123E-3</v>
      </c>
      <c r="G82" s="2"/>
      <c r="H82" s="7">
        <v>638.63</v>
      </c>
      <c r="I82" s="2"/>
      <c r="J82" s="6">
        <f t="shared" si="61"/>
        <v>7.3594809654687621E-2</v>
      </c>
      <c r="K82" s="2"/>
      <c r="L82" s="7">
        <f t="shared" si="62"/>
        <v>8.6499999999999773</v>
      </c>
      <c r="M82" s="2"/>
      <c r="N82" s="6">
        <f t="shared" si="63"/>
        <v>1.3544618949939679E-2</v>
      </c>
      <c r="O82" s="11"/>
      <c r="P82" s="7">
        <v>1892.78</v>
      </c>
      <c r="Q82" s="2"/>
      <c r="R82" s="6">
        <f t="shared" si="64"/>
        <v>9.3634081582820525E-3</v>
      </c>
      <c r="S82" s="2"/>
      <c r="T82" s="7">
        <v>3071.41</v>
      </c>
      <c r="U82" s="2"/>
      <c r="V82" s="6">
        <f t="shared" si="65"/>
        <v>0.21371533938698117</v>
      </c>
      <c r="W82" s="2"/>
      <c r="X82" s="7">
        <f t="shared" si="66"/>
        <v>-1178.6299999999999</v>
      </c>
      <c r="Y82" s="2"/>
      <c r="Z82" s="6">
        <f t="shared" si="67"/>
        <v>-0.3837423203024018</v>
      </c>
    </row>
    <row r="83" spans="1:26" s="27" customFormat="1" outlineLevel="1" collapsed="1" x14ac:dyDescent="0.25">
      <c r="A83" s="29"/>
      <c r="B83" s="14" t="str">
        <f>CONCATENATE("     ","Travel                                            ")</f>
        <v xml:space="preserve">     Travel                                            </v>
      </c>
      <c r="C83" s="14"/>
      <c r="D83" s="1">
        <f>SUM(OSRRefD22_18x_0)</f>
        <v>0</v>
      </c>
      <c r="E83" s="1"/>
      <c r="F83" s="5">
        <f t="shared" si="60"/>
        <v>0</v>
      </c>
      <c r="G83" s="1"/>
      <c r="H83" s="1">
        <f>SUM(OSRRefH22_18x_0)</f>
        <v>152.52000000000001</v>
      </c>
      <c r="I83" s="1"/>
      <c r="J83" s="5">
        <f t="shared" si="61"/>
        <v>1.7576187101346563E-2</v>
      </c>
      <c r="K83" s="1"/>
      <c r="L83" s="1">
        <f t="shared" si="62"/>
        <v>-152.52000000000001</v>
      </c>
      <c r="M83" s="1"/>
      <c r="N83" s="5">
        <f t="shared" si="63"/>
        <v>-1</v>
      </c>
      <c r="O83" s="14"/>
      <c r="P83" s="1">
        <f>SUM(OSRRefP22_18x_0)</f>
        <v>0</v>
      </c>
      <c r="Q83" s="1"/>
      <c r="R83" s="5">
        <f t="shared" si="64"/>
        <v>0</v>
      </c>
      <c r="S83" s="1"/>
      <c r="T83" s="1">
        <f>SUM(OSRRefT22_18x_0)</f>
        <v>332.21</v>
      </c>
      <c r="U83" s="1"/>
      <c r="V83" s="5">
        <f t="shared" si="65"/>
        <v>2.3115889086038337E-2</v>
      </c>
      <c r="W83" s="1"/>
      <c r="X83" s="1">
        <f t="shared" si="66"/>
        <v>-332.21</v>
      </c>
      <c r="Y83" s="1"/>
      <c r="Z83" s="5">
        <f t="shared" si="67"/>
        <v>-1</v>
      </c>
    </row>
    <row r="84" spans="1:26" s="24" customFormat="1" hidden="1" outlineLevel="2" x14ac:dyDescent="0.25">
      <c r="A84" s="28"/>
      <c r="B84" s="11" t="str">
        <f>CONCATENATE("          ", "6298", " - ", "VEHICLE MILEAGE")</f>
        <v xml:space="preserve">          6298 - VEHICLE MILEAGE</v>
      </c>
      <c r="C84" s="11"/>
      <c r="D84" s="7"/>
      <c r="E84" s="2"/>
      <c r="F84" s="6">
        <f t="shared" si="60"/>
        <v>0</v>
      </c>
      <c r="G84" s="2"/>
      <c r="H84" s="7">
        <v>152.52000000000001</v>
      </c>
      <c r="I84" s="2"/>
      <c r="J84" s="6">
        <f t="shared" si="61"/>
        <v>1.7576187101346563E-2</v>
      </c>
      <c r="K84" s="2"/>
      <c r="L84" s="7">
        <f t="shared" si="62"/>
        <v>-152.52000000000001</v>
      </c>
      <c r="M84" s="2"/>
      <c r="N84" s="6">
        <f t="shared" si="63"/>
        <v>-1</v>
      </c>
      <c r="O84" s="11"/>
      <c r="P84" s="7"/>
      <c r="Q84" s="2"/>
      <c r="R84" s="6">
        <f t="shared" si="64"/>
        <v>0</v>
      </c>
      <c r="S84" s="2"/>
      <c r="T84" s="7">
        <v>332.21</v>
      </c>
      <c r="U84" s="2"/>
      <c r="V84" s="6">
        <f t="shared" si="65"/>
        <v>2.3115889086038337E-2</v>
      </c>
      <c r="W84" s="2"/>
      <c r="X84" s="7">
        <f t="shared" si="66"/>
        <v>-332.21</v>
      </c>
      <c r="Y84" s="2"/>
      <c r="Z84" s="6">
        <f t="shared" si="67"/>
        <v>-1</v>
      </c>
    </row>
    <row r="85" spans="1:26" s="27" customFormat="1" outlineLevel="1" collapsed="1" x14ac:dyDescent="0.25">
      <c r="A85" s="29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SUM(OSRRefD22_19x_0)</f>
        <v>8150</v>
      </c>
      <c r="E85" s="1"/>
      <c r="F85" s="5">
        <f t="shared" si="60"/>
        <v>6.2612645142257464E-2</v>
      </c>
      <c r="G85" s="1"/>
      <c r="H85" s="1">
        <f>SUM(OSRRefH22_19x_0)</f>
        <v>2300</v>
      </c>
      <c r="I85" s="1"/>
      <c r="J85" s="5">
        <f t="shared" si="61"/>
        <v>0.26504871710658995</v>
      </c>
      <c r="K85" s="1"/>
      <c r="L85" s="1">
        <f t="shared" si="62"/>
        <v>5850</v>
      </c>
      <c r="M85" s="1"/>
      <c r="N85" s="5">
        <f t="shared" si="63"/>
        <v>2.5434782608695654</v>
      </c>
      <c r="O85" s="14"/>
      <c r="P85" s="1">
        <f>SUM(OSRRefP22_19x_0)</f>
        <v>24450</v>
      </c>
      <c r="Q85" s="1"/>
      <c r="R85" s="5">
        <f t="shared" si="64"/>
        <v>0.12095189587273544</v>
      </c>
      <c r="S85" s="1"/>
      <c r="T85" s="1">
        <f>SUM(OSRRefT22_19x_0)</f>
        <v>6900</v>
      </c>
      <c r="U85" s="1"/>
      <c r="V85" s="5">
        <f t="shared" si="65"/>
        <v>0.48011689802734581</v>
      </c>
      <c r="W85" s="1"/>
      <c r="X85" s="1">
        <f t="shared" si="66"/>
        <v>17550</v>
      </c>
      <c r="Y85" s="1"/>
      <c r="Z85" s="5">
        <f t="shared" si="67"/>
        <v>2.5434782608695654</v>
      </c>
    </row>
    <row r="86" spans="1:26" s="24" customFormat="1" hidden="1" outlineLevel="2" x14ac:dyDescent="0.25">
      <c r="A86" s="28"/>
      <c r="B86" s="11" t="str">
        <f>CONCATENATE("          ", "6274", " - ", "UTILITIES")</f>
        <v xml:space="preserve">          6274 - UTILITIES</v>
      </c>
      <c r="C86" s="11"/>
      <c r="D86" s="7">
        <v>8150</v>
      </c>
      <c r="E86" s="2"/>
      <c r="F86" s="6">
        <f t="shared" si="60"/>
        <v>6.2612645142257464E-2</v>
      </c>
      <c r="G86" s="2"/>
      <c r="H86" s="7">
        <v>2300</v>
      </c>
      <c r="I86" s="2"/>
      <c r="J86" s="6">
        <f t="shared" si="61"/>
        <v>0.26504871710658995</v>
      </c>
      <c r="K86" s="2"/>
      <c r="L86" s="7">
        <f t="shared" si="62"/>
        <v>5850</v>
      </c>
      <c r="M86" s="2"/>
      <c r="N86" s="6">
        <f t="shared" si="63"/>
        <v>2.5434782608695654</v>
      </c>
      <c r="O86" s="11"/>
      <c r="P86" s="7">
        <v>24450</v>
      </c>
      <c r="Q86" s="2"/>
      <c r="R86" s="6">
        <f t="shared" si="64"/>
        <v>0.12095189587273544</v>
      </c>
      <c r="S86" s="2"/>
      <c r="T86" s="7">
        <v>6900</v>
      </c>
      <c r="U86" s="2"/>
      <c r="V86" s="6">
        <f t="shared" si="65"/>
        <v>0.48011689802734581</v>
      </c>
      <c r="W86" s="2"/>
      <c r="X86" s="7">
        <f t="shared" si="66"/>
        <v>17550</v>
      </c>
      <c r="Y86" s="2"/>
      <c r="Z86" s="6">
        <f t="shared" si="67"/>
        <v>2.5434782608695654</v>
      </c>
    </row>
    <row r="87" spans="1:26" s="54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25">
      <c r="A88" s="10"/>
      <c r="B88" s="26" t="s">
        <v>292</v>
      </c>
      <c r="C88" s="10"/>
      <c r="D88" s="4">
        <f>SUM(OSRRefD25x_0)</f>
        <v>2991.7999999999993</v>
      </c>
      <c r="E88" s="4"/>
      <c r="F88" s="12">
        <f t="shared" ref="F88:F91" si="68">IF(D$12=0,0,D88/D$12)</f>
        <v>2.2984602667068203E-2</v>
      </c>
      <c r="G88" s="4"/>
      <c r="H88" s="4">
        <f>SUM(OSRRefH25x_0)</f>
        <v>805.53</v>
      </c>
      <c r="I88" s="4"/>
      <c r="J88" s="12">
        <f t="shared" ref="J88:J91" si="69">IF(H$12=0,0,H88/H$12)</f>
        <v>9.2828127430813645E-2</v>
      </c>
      <c r="K88" s="4"/>
      <c r="L88" s="4">
        <f t="shared" ref="L88:L91" si="70">+D88-H88</f>
        <v>2186.2699999999995</v>
      </c>
      <c r="M88" s="4"/>
      <c r="N88" s="12">
        <f t="shared" ref="N88:N91" si="71">IF(H88=0,0,L88/H88)</f>
        <v>2.7140764465631317</v>
      </c>
      <c r="O88" s="10"/>
      <c r="P88" s="4">
        <f>SUM(OSRRefP25x_0)</f>
        <v>17194.05</v>
      </c>
      <c r="Q88" s="4"/>
      <c r="R88" s="12">
        <f t="shared" ref="R88:R91" si="72">IF(P$12=0,0,P88/P$12)</f>
        <v>8.5057380173030953E-2</v>
      </c>
      <c r="S88" s="4"/>
      <c r="T88" s="4">
        <f>SUM(OSRRefT25x_0)</f>
        <v>3619.9199999999996</v>
      </c>
      <c r="U88" s="4"/>
      <c r="V88" s="12">
        <f t="shared" ref="V88:V91" si="73">IF(T$12=0,0,T88/T$12)</f>
        <v>0.25188184949378978</v>
      </c>
      <c r="W88" s="4"/>
      <c r="X88" s="4">
        <f t="shared" ref="X88:X91" si="74">+P88-T88</f>
        <v>13574.13</v>
      </c>
      <c r="Y88" s="4"/>
      <c r="Z88" s="12">
        <f t="shared" ref="Z88:Z91" si="75">IF(T88=0,0,X88/T88)</f>
        <v>3.7498425379566402</v>
      </c>
    </row>
    <row r="89" spans="1:26" s="24" customFormat="1" hidden="1" outlineLevel="1" x14ac:dyDescent="0.25">
      <c r="A89" s="44"/>
      <c r="B89" s="11" t="str">
        <f>CONCATENATE("          ", "9150", " - ", "MISC. INCOME")</f>
        <v xml:space="preserve">          9150 - MISC. INCOME</v>
      </c>
      <c r="C89" s="11"/>
      <c r="D89" s="2">
        <f>--14735.43</f>
        <v>14735.43</v>
      </c>
      <c r="E89" s="2"/>
      <c r="F89" s="19">
        <f t="shared" si="68"/>
        <v>0.11320542939982516</v>
      </c>
      <c r="G89" s="2"/>
      <c r="H89" s="2">
        <f>--180.85</f>
        <v>180.85</v>
      </c>
      <c r="I89" s="2"/>
      <c r="J89" s="19">
        <f t="shared" si="69"/>
        <v>2.0840895864663821E-2</v>
      </c>
      <c r="K89" s="2"/>
      <c r="L89" s="2">
        <f t="shared" si="70"/>
        <v>14554.58</v>
      </c>
      <c r="M89" s="2"/>
      <c r="N89" s="19">
        <f t="shared" si="71"/>
        <v>80.478739286701682</v>
      </c>
      <c r="O89" s="11"/>
      <c r="P89" s="2">
        <f>--17194.05</f>
        <v>17194.05</v>
      </c>
      <c r="Q89" s="2"/>
      <c r="R89" s="19">
        <f t="shared" si="72"/>
        <v>8.5057380173030953E-2</v>
      </c>
      <c r="S89" s="2"/>
      <c r="T89" s="2">
        <f>--804.68</f>
        <v>804.68</v>
      </c>
      <c r="U89" s="2"/>
      <c r="V89" s="19">
        <f t="shared" si="73"/>
        <v>5.5991371812267328E-2</v>
      </c>
      <c r="W89" s="2"/>
      <c r="X89" s="2">
        <f t="shared" si="74"/>
        <v>16389.37</v>
      </c>
      <c r="Y89" s="2"/>
      <c r="Z89" s="19">
        <f t="shared" si="75"/>
        <v>20.36756226077447</v>
      </c>
    </row>
    <row r="90" spans="1:26" s="24" customFormat="1" hidden="1" outlineLevel="1" x14ac:dyDescent="0.25">
      <c r="A90" s="44"/>
      <c r="B90" s="11" t="str">
        <f>CONCATENATE("          ", "9160", " - ", "MISC. INCOME")</f>
        <v xml:space="preserve">          9160 - MISC. INCOME</v>
      </c>
      <c r="C90" s="11"/>
      <c r="D90" s="2">
        <f>-11238.12</f>
        <v>-11238.12</v>
      </c>
      <c r="E90" s="2"/>
      <c r="F90" s="19">
        <f t="shared" si="68"/>
        <v>-8.6337229401976259E-2</v>
      </c>
      <c r="G90" s="2"/>
      <c r="H90" s="2">
        <f>0</f>
        <v>0</v>
      </c>
      <c r="I90" s="2"/>
      <c r="J90" s="19">
        <f t="shared" si="69"/>
        <v>0</v>
      </c>
      <c r="K90" s="2"/>
      <c r="L90" s="2">
        <f t="shared" si="70"/>
        <v>-11238.12</v>
      </c>
      <c r="M90" s="2"/>
      <c r="N90" s="19">
        <f t="shared" si="71"/>
        <v>0</v>
      </c>
      <c r="O90" s="11"/>
      <c r="P90" s="2">
        <f t="shared" ref="P90:P91" si="76">0</f>
        <v>0</v>
      </c>
      <c r="Q90" s="2"/>
      <c r="R90" s="19">
        <f t="shared" si="72"/>
        <v>0</v>
      </c>
      <c r="S90" s="2"/>
      <c r="T90" s="2">
        <f>--1990.06</f>
        <v>1990.06</v>
      </c>
      <c r="U90" s="2"/>
      <c r="V90" s="19">
        <f t="shared" si="73"/>
        <v>0.13847267160699997</v>
      </c>
      <c r="W90" s="2"/>
      <c r="X90" s="2">
        <f t="shared" si="74"/>
        <v>-1990.06</v>
      </c>
      <c r="Y90" s="2"/>
      <c r="Z90" s="19">
        <f t="shared" si="75"/>
        <v>-1</v>
      </c>
    </row>
    <row r="91" spans="1:26" s="24" customFormat="1" hidden="1" outlineLevel="1" x14ac:dyDescent="0.25">
      <c r="A91" s="44"/>
      <c r="B91" s="11" t="str">
        <f>CONCATENATE("          ", "9165", " - ", "OTHER INCOME")</f>
        <v xml:space="preserve">          9165 - OTHER INCOME</v>
      </c>
      <c r="C91" s="11"/>
      <c r="D91" s="2">
        <f>-505.51</f>
        <v>-505.51</v>
      </c>
      <c r="E91" s="2"/>
      <c r="F91" s="19">
        <f t="shared" si="68"/>
        <v>-3.8835973307806836E-3</v>
      </c>
      <c r="G91" s="2"/>
      <c r="H91" s="2">
        <f>--624.68</f>
        <v>624.67999999999995</v>
      </c>
      <c r="I91" s="2"/>
      <c r="J91" s="19">
        <f t="shared" si="69"/>
        <v>7.198723156614982E-2</v>
      </c>
      <c r="K91" s="2"/>
      <c r="L91" s="2">
        <f t="shared" si="70"/>
        <v>-1130.19</v>
      </c>
      <c r="M91" s="2"/>
      <c r="N91" s="19">
        <f t="shared" si="71"/>
        <v>-1.8092303259268747</v>
      </c>
      <c r="O91" s="11"/>
      <c r="P91" s="2">
        <f t="shared" si="76"/>
        <v>0</v>
      </c>
      <c r="Q91" s="2"/>
      <c r="R91" s="19">
        <f t="shared" si="72"/>
        <v>0</v>
      </c>
      <c r="S91" s="2"/>
      <c r="T91" s="2">
        <f>--825.18</f>
        <v>825.18</v>
      </c>
      <c r="U91" s="2"/>
      <c r="V91" s="19">
        <f t="shared" si="73"/>
        <v>5.7417806074522487E-2</v>
      </c>
      <c r="W91" s="2"/>
      <c r="X91" s="2">
        <f t="shared" si="74"/>
        <v>-825.18</v>
      </c>
      <c r="Y91" s="2"/>
      <c r="Z91" s="19">
        <f t="shared" si="75"/>
        <v>-1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5" t="s">
        <v>276</v>
      </c>
      <c r="C93" s="25"/>
      <c r="D93" s="21">
        <f>+D21-D23+D88</f>
        <v>-91915.95</v>
      </c>
      <c r="E93" s="13"/>
      <c r="F93" s="22">
        <f>IF(D$12=0,0,D93/D$12)</f>
        <v>-0.70614733254766626</v>
      </c>
      <c r="G93" s="13"/>
      <c r="H93" s="21">
        <f>+H21-H23+H88</f>
        <v>-110107.33000000002</v>
      </c>
      <c r="I93" s="13"/>
      <c r="J93" s="22">
        <f>IF(H$12=0,0,H93/H$12)</f>
        <v>-12.688611548057368</v>
      </c>
      <c r="K93" s="16"/>
      <c r="L93" s="21">
        <f>+D93-H93</f>
        <v>18191.380000000019</v>
      </c>
      <c r="M93" s="16"/>
      <c r="N93" s="22">
        <f>IF(H93=0,0,L93/H93)</f>
        <v>-0.16521497705920229</v>
      </c>
      <c r="O93" s="26"/>
      <c r="P93" s="21">
        <f>+P21-P23+P88</f>
        <v>-372099.24000000005</v>
      </c>
      <c r="Q93" s="13"/>
      <c r="R93" s="22">
        <f>IF(P$12=0,0,P93/P$12)</f>
        <v>-1.8407406352067077</v>
      </c>
      <c r="S93" s="13"/>
      <c r="T93" s="21">
        <f>+T21-T23+T88</f>
        <v>-317806.74000000005</v>
      </c>
      <c r="U93" s="13"/>
      <c r="V93" s="22">
        <f>IF(T$12=0,0,T93/T$12)</f>
        <v>-22.113679156664233</v>
      </c>
      <c r="W93" s="16"/>
      <c r="X93" s="21">
        <f>+P93-T93</f>
        <v>-54292.5</v>
      </c>
      <c r="Y93" s="16"/>
      <c r="Z93" s="22">
        <f>IF(T93=0,0,X93/T93)</f>
        <v>0.17083495460165504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1"/>
      <c r="B95" s="10" t="s">
        <v>127</v>
      </c>
      <c r="C95" s="10"/>
      <c r="D95" s="4">
        <v>14264.46</v>
      </c>
      <c r="E95" s="4"/>
      <c r="F95" s="12">
        <f>IF(D$12=0,0,D95/D$12)</f>
        <v>0.10958718676391729</v>
      </c>
      <c r="G95" s="4"/>
      <c r="H95" s="4">
        <v>1701.07</v>
      </c>
      <c r="I95" s="4"/>
      <c r="J95" s="12">
        <f>IF(H$12=0,0,H95/H$12)</f>
        <v>0.19602887878630734</v>
      </c>
      <c r="K95" s="4"/>
      <c r="L95" s="4">
        <f>+D95-H95</f>
        <v>12563.39</v>
      </c>
      <c r="M95" s="4"/>
      <c r="N95" s="12">
        <f>IF(H95=0,0,L95/H95)</f>
        <v>7.3855808402946383</v>
      </c>
      <c r="O95" s="10"/>
      <c r="P95" s="4">
        <v>25020.81</v>
      </c>
      <c r="Q95" s="4"/>
      <c r="R95" s="12">
        <f>IF(P$12=0,0,P95/P$12)</f>
        <v>0.12377564031785268</v>
      </c>
      <c r="S95" s="4"/>
      <c r="T95" s="4">
        <v>2662.4</v>
      </c>
      <c r="U95" s="4"/>
      <c r="V95" s="12">
        <f>IF(T$12=0,0,T95/T$12)</f>
        <v>0.18525554047942108</v>
      </c>
      <c r="W95" s="4"/>
      <c r="X95" s="4">
        <f>+P95-T95</f>
        <v>22358.41</v>
      </c>
      <c r="Y95" s="4"/>
      <c r="Z95" s="12">
        <f>IF(T95=0,0,X95/T95)</f>
        <v>8.3978402944711537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5" t="s">
        <v>125</v>
      </c>
      <c r="C97" s="25"/>
      <c r="D97" s="33">
        <f>+D93-D95</f>
        <v>-106180.41</v>
      </c>
      <c r="E97" s="13"/>
      <c r="F97" s="35">
        <f>IF(D$12=0,0,D97/D$12)</f>
        <v>-0.81573451931158358</v>
      </c>
      <c r="G97" s="13"/>
      <c r="H97" s="33">
        <f>+H93-H95</f>
        <v>-111808.40000000002</v>
      </c>
      <c r="I97" s="13"/>
      <c r="J97" s="35">
        <f>IF(H$12=0,0,H97/H$12)</f>
        <v>-12.884640426843676</v>
      </c>
      <c r="K97" s="16"/>
      <c r="L97" s="33">
        <f>D97-H97</f>
        <v>5627.9900000000198</v>
      </c>
      <c r="M97" s="16"/>
      <c r="N97" s="35">
        <f>IF(H97=0,0,L97/H97)</f>
        <v>-5.0336021264949848E-2</v>
      </c>
      <c r="O97" s="26"/>
      <c r="P97" s="33">
        <f>+P93-P95</f>
        <v>-397120.05000000005</v>
      </c>
      <c r="Q97" s="13"/>
      <c r="R97" s="35">
        <f>IF(P$12=0,0,P97/P$12)</f>
        <v>-1.9645162755245604</v>
      </c>
      <c r="S97" s="13"/>
      <c r="T97" s="33">
        <f>+T93-T95</f>
        <v>-320469.14000000007</v>
      </c>
      <c r="U97" s="13"/>
      <c r="V97" s="35">
        <f>IF(T$12=0,0,T97/T$12)</f>
        <v>-22.298934697143658</v>
      </c>
      <c r="W97" s="16"/>
      <c r="X97" s="33">
        <f>P97-T97</f>
        <v>-76650.909999999974</v>
      </c>
      <c r="Y97" s="16"/>
      <c r="Z97" s="35">
        <f>IF(T97=0,0,X97/T97)</f>
        <v>0.23918343588402913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5" t="s">
        <v>293</v>
      </c>
      <c r="C100" s="25"/>
      <c r="D100" s="31">
        <f>SUM(D97:D99)</f>
        <v>-106180.41</v>
      </c>
      <c r="E100" s="13"/>
      <c r="F100" s="32">
        <f>IF(D$12=0,0,D100/D$12)</f>
        <v>-0.81573451931158358</v>
      </c>
      <c r="G100" s="13"/>
      <c r="H100" s="31">
        <f>SUM(H97:H99)</f>
        <v>-111808.40000000002</v>
      </c>
      <c r="I100" s="13"/>
      <c r="J100" s="32">
        <f>IF(H$12=0,0,H100/H$12)</f>
        <v>-12.884640426843676</v>
      </c>
      <c r="K100" s="16"/>
      <c r="L100" s="31">
        <f>+D100-H100</f>
        <v>5627.9900000000198</v>
      </c>
      <c r="M100" s="16"/>
      <c r="N100" s="32">
        <f>IF(H100=0,0,L100/H100)</f>
        <v>-5.0336021264949848E-2</v>
      </c>
      <c r="O100" s="26"/>
      <c r="P100" s="31">
        <f>SUM(P97:P99)</f>
        <v>-397120.05000000005</v>
      </c>
      <c r="Q100" s="13"/>
      <c r="R100" s="32">
        <f>IF(P$12=0,0,P100/P$12)</f>
        <v>-1.9645162755245604</v>
      </c>
      <c r="S100" s="13"/>
      <c r="T100" s="31">
        <f>SUM(T97:T99)</f>
        <v>-320469.14000000007</v>
      </c>
      <c r="U100" s="13"/>
      <c r="V100" s="32">
        <f>IF(T$12=0,0,T100/T$12)</f>
        <v>-22.298934697143658</v>
      </c>
      <c r="W100" s="16"/>
      <c r="X100" s="31">
        <f>+P100-T100</f>
        <v>-76650.909999999974</v>
      </c>
      <c r="Y100" s="16"/>
      <c r="Z100" s="32">
        <f>IF(T100=0,0,X100/T100)</f>
        <v>0.23918343588402913</v>
      </c>
    </row>
    <row r="101" spans="1:26" ht="15.75" thickTop="1" x14ac:dyDescent="0.25">
      <c r="A101" s="9"/>
      <c r="C101" s="9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8">
        <v>44481.985626655092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53" t="s">
        <v>56</v>
      </c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A104" s="9"/>
      <c r="B104" s="52"/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","405", " - ", "Caffeine Lab")</f>
        <v>Department 405 - Caffeine Lab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65851.209999999992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65851.209999999992</v>
      </c>
      <c r="M12" s="4"/>
      <c r="N12" s="12">
        <f t="shared" ref="N12:N14" si="1">IF(H12=0,0,L12/H12)</f>
        <v>0</v>
      </c>
      <c r="O12" s="10"/>
      <c r="P12" s="4">
        <f>SUM(OSRRefP13x_0)</f>
        <v>81213.960000000006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81213.960000000006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--9000.69</f>
        <v>9000.69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9000.69</v>
      </c>
      <c r="M13" s="2"/>
      <c r="N13" s="19">
        <f t="shared" si="1"/>
        <v>0</v>
      </c>
      <c r="O13" s="11"/>
      <c r="P13" s="2">
        <f>--11270.35</f>
        <v>11270.35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11270.35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--56850.52</f>
        <v>56850.52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56850.52</v>
      </c>
      <c r="M14" s="2"/>
      <c r="N14" s="19">
        <f t="shared" si="1"/>
        <v>0</v>
      </c>
      <c r="O14" s="11"/>
      <c r="P14" s="2">
        <f>--69943.61</f>
        <v>69943.61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69943.61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256</v>
      </c>
      <c r="C16" s="10"/>
      <c r="D16" s="4">
        <f>SUM(OSRRefD16x_0)</f>
        <v>25022.690000000002</v>
      </c>
      <c r="E16" s="4"/>
      <c r="F16" s="12">
        <f t="shared" ref="F16:F18" si="6">IF(D$12=0,0,D16/D$12)</f>
        <v>0.37998831000979338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25022.690000000002</v>
      </c>
      <c r="M16" s="4"/>
      <c r="N16" s="12">
        <f t="shared" ref="N16:N18" si="9">IF(H16=0,0,L16/H16)</f>
        <v>0</v>
      </c>
      <c r="O16" s="10"/>
      <c r="P16" s="4">
        <f>SUM(OSRRefP16x_0)</f>
        <v>30860.959999999999</v>
      </c>
      <c r="Q16" s="4"/>
      <c r="R16" s="12">
        <f t="shared" ref="R16:R18" si="10">IF(P$12=0,0,P16/P$12)</f>
        <v>0.37999575442448558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30860.959999999999</v>
      </c>
      <c r="Y16" s="4"/>
      <c r="Z16" s="12">
        <f t="shared" ref="Z16:Z18" si="13">IF(T16=0,0,X16/T16)</f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17188.09</v>
      </c>
      <c r="E17" s="2"/>
      <c r="F17" s="19">
        <f t="shared" si="6"/>
        <v>0.2610140345181205</v>
      </c>
      <c r="G17" s="2"/>
      <c r="H17" s="2"/>
      <c r="I17" s="2"/>
      <c r="J17" s="19">
        <f t="shared" si="7"/>
        <v>0</v>
      </c>
      <c r="K17" s="2"/>
      <c r="L17" s="2">
        <f t="shared" si="8"/>
        <v>17188.09</v>
      </c>
      <c r="M17" s="2"/>
      <c r="N17" s="19">
        <f t="shared" si="9"/>
        <v>0</v>
      </c>
      <c r="O17" s="11"/>
      <c r="P17" s="2">
        <v>36749.360000000001</v>
      </c>
      <c r="Q17" s="2"/>
      <c r="R17" s="19">
        <f t="shared" si="10"/>
        <v>0.45250053069693924</v>
      </c>
      <c r="S17" s="2"/>
      <c r="T17" s="2"/>
      <c r="U17" s="2"/>
      <c r="V17" s="19">
        <f t="shared" si="11"/>
        <v>0</v>
      </c>
      <c r="W17" s="2"/>
      <c r="X17" s="2">
        <f t="shared" si="12"/>
        <v>36749.360000000001</v>
      </c>
      <c r="Y17" s="2"/>
      <c r="Z17" s="19">
        <f t="shared" si="13"/>
        <v>0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7834.6</v>
      </c>
      <c r="E18" s="2"/>
      <c r="F18" s="19">
        <f t="shared" si="6"/>
        <v>0.11897427549167283</v>
      </c>
      <c r="G18" s="2"/>
      <c r="H18" s="2"/>
      <c r="I18" s="2"/>
      <c r="J18" s="19">
        <f t="shared" si="7"/>
        <v>0</v>
      </c>
      <c r="K18" s="2"/>
      <c r="L18" s="2">
        <f t="shared" si="8"/>
        <v>7834.6</v>
      </c>
      <c r="M18" s="2"/>
      <c r="N18" s="19">
        <f t="shared" si="9"/>
        <v>0</v>
      </c>
      <c r="O18" s="11"/>
      <c r="P18" s="2">
        <v>-5888.4</v>
      </c>
      <c r="Q18" s="2"/>
      <c r="R18" s="19">
        <f t="shared" si="10"/>
        <v>-7.2504776272453636E-2</v>
      </c>
      <c r="S18" s="2"/>
      <c r="T18" s="2"/>
      <c r="U18" s="2"/>
      <c r="V18" s="19">
        <f t="shared" si="11"/>
        <v>0</v>
      </c>
      <c r="W18" s="2"/>
      <c r="X18" s="2">
        <f t="shared" si="12"/>
        <v>-5888.4</v>
      </c>
      <c r="Y18" s="2"/>
      <c r="Z18" s="19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107</v>
      </c>
      <c r="C20" s="25"/>
      <c r="D20" s="21">
        <f>D12-D16</f>
        <v>40828.51999999999</v>
      </c>
      <c r="E20" s="13"/>
      <c r="F20" s="22">
        <f>IF(D$12=0,0,D20/D$12)</f>
        <v>0.62001168999020662</v>
      </c>
      <c r="G20" s="13"/>
      <c r="H20" s="21">
        <f>H12-H16</f>
        <v>0</v>
      </c>
      <c r="I20" s="13"/>
      <c r="J20" s="22">
        <f>IF(H$12=0,0,H20/H$12)</f>
        <v>0</v>
      </c>
      <c r="K20" s="16"/>
      <c r="L20" s="21">
        <f>+D20-H20</f>
        <v>40828.51999999999</v>
      </c>
      <c r="M20" s="16"/>
      <c r="N20" s="22">
        <f>IF(H20=0,0,L20/H20)</f>
        <v>0</v>
      </c>
      <c r="O20" s="26"/>
      <c r="P20" s="21">
        <f>P12-P16</f>
        <v>50353.000000000007</v>
      </c>
      <c r="Q20" s="13"/>
      <c r="R20" s="22">
        <f>IF(P$12=0,0,P20/P$12)</f>
        <v>0.62000424557551437</v>
      </c>
      <c r="S20" s="13"/>
      <c r="T20" s="21">
        <f>T12-T16</f>
        <v>0</v>
      </c>
      <c r="U20" s="13"/>
      <c r="V20" s="22">
        <f>IF(T$12=0,0,T20/T$12)</f>
        <v>0</v>
      </c>
      <c r="W20" s="16"/>
      <c r="X20" s="21">
        <f>+P20-T20</f>
        <v>50353.000000000007</v>
      </c>
      <c r="Y20" s="16"/>
      <c r="Z20" s="22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294</v>
      </c>
      <c r="C22" s="10"/>
      <c r="D22" s="20">
        <f>SUM(OSRRefD22x_0)</f>
        <v>36986.620000000003</v>
      </c>
      <c r="E22" s="20"/>
      <c r="F22" s="30">
        <f t="shared" ref="F22:F31" si="14">IF(D$12=0,0,D22/D$12)</f>
        <v>0.56166955778033556</v>
      </c>
      <c r="G22" s="20"/>
      <c r="H22" s="20">
        <f>SUM(OSRRefH22x_0)</f>
        <v>11248.7</v>
      </c>
      <c r="I22" s="20"/>
      <c r="J22" s="30">
        <f t="shared" ref="J22:J31" si="15">IF(H$12=0,0,H22/H$12)</f>
        <v>0</v>
      </c>
      <c r="K22" s="4"/>
      <c r="L22" s="20">
        <f t="shared" ref="L22:L31" si="16">+D22-H22</f>
        <v>25737.920000000002</v>
      </c>
      <c r="M22" s="4"/>
      <c r="N22" s="30">
        <f t="shared" ref="N22:N31" si="17">IF(H22=0,0,L22/H22)</f>
        <v>2.2880795114102073</v>
      </c>
      <c r="O22" s="10"/>
      <c r="P22" s="20">
        <f>SUM(OSRRefP22x_0)</f>
        <v>79472.049999999974</v>
      </c>
      <c r="Q22" s="20"/>
      <c r="R22" s="30">
        <f t="shared" ref="R22:R31" si="18">IF(P$12=0,0,P22/P$12)</f>
        <v>0.97855159383928536</v>
      </c>
      <c r="S22" s="20"/>
      <c r="T22" s="20">
        <f>SUM(OSRRefT22x_0)</f>
        <v>22398.399999999998</v>
      </c>
      <c r="U22" s="20"/>
      <c r="V22" s="30">
        <f t="shared" ref="V22:V31" si="19">IF(T$12=0,0,T22/T$12)</f>
        <v>0</v>
      </c>
      <c r="W22" s="4"/>
      <c r="X22" s="20">
        <f t="shared" ref="X22:X31" si="20">+P22-T22</f>
        <v>57073.64999999998</v>
      </c>
      <c r="Y22" s="4"/>
      <c r="Z22" s="30">
        <f t="shared" ref="Z22:Z31" si="21">IF(T22=0,0,X22/T22)</f>
        <v>2.5481128116294016</v>
      </c>
    </row>
    <row r="23" spans="1:26" s="27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3444.52</v>
      </c>
      <c r="E23" s="1"/>
      <c r="F23" s="5">
        <f t="shared" si="14"/>
        <v>5.2307618948839368E-2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3444.52</v>
      </c>
      <c r="M23" s="1"/>
      <c r="N23" s="5">
        <f t="shared" si="17"/>
        <v>0</v>
      </c>
      <c r="O23" s="14"/>
      <c r="P23" s="1">
        <f>SUM(OSRRefP22_0x_0)</f>
        <v>7695.9</v>
      </c>
      <c r="Q23" s="1"/>
      <c r="R23" s="5">
        <f t="shared" si="18"/>
        <v>9.4760802206911215E-2</v>
      </c>
      <c r="S23" s="1"/>
      <c r="T23" s="1">
        <f>SUM(OSRRefT22_0x_0)</f>
        <v>0</v>
      </c>
      <c r="U23" s="1"/>
      <c r="V23" s="5">
        <f t="shared" si="19"/>
        <v>0</v>
      </c>
      <c r="W23" s="1"/>
      <c r="X23" s="1">
        <f t="shared" si="20"/>
        <v>7695.9</v>
      </c>
      <c r="Y23" s="1"/>
      <c r="Z23" s="5">
        <f t="shared" si="21"/>
        <v>0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7">
        <v>732.92</v>
      </c>
      <c r="E24" s="2"/>
      <c r="F24" s="6">
        <f t="shared" si="14"/>
        <v>1.1129939753574764E-2</v>
      </c>
      <c r="G24" s="2"/>
      <c r="H24" s="7"/>
      <c r="I24" s="2"/>
      <c r="J24" s="6">
        <f t="shared" si="15"/>
        <v>0</v>
      </c>
      <c r="K24" s="2"/>
      <c r="L24" s="7">
        <f t="shared" si="16"/>
        <v>732.92</v>
      </c>
      <c r="M24" s="2"/>
      <c r="N24" s="6">
        <f t="shared" si="17"/>
        <v>0</v>
      </c>
      <c r="O24" s="11"/>
      <c r="P24" s="7">
        <v>1843.78</v>
      </c>
      <c r="Q24" s="2"/>
      <c r="R24" s="6">
        <f t="shared" si="18"/>
        <v>2.2702747163172436E-2</v>
      </c>
      <c r="S24" s="2"/>
      <c r="T24" s="7"/>
      <c r="U24" s="2"/>
      <c r="V24" s="6">
        <f t="shared" si="19"/>
        <v>0</v>
      </c>
      <c r="W24" s="2"/>
      <c r="X24" s="7">
        <f t="shared" si="20"/>
        <v>1843.78</v>
      </c>
      <c r="Y24" s="2"/>
      <c r="Z24" s="6">
        <f t="shared" si="21"/>
        <v>0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7">
        <v>708.55</v>
      </c>
      <c r="E25" s="2"/>
      <c r="F25" s="6">
        <f t="shared" si="14"/>
        <v>1.0759863030610979E-2</v>
      </c>
      <c r="G25" s="2"/>
      <c r="H25" s="7"/>
      <c r="I25" s="2"/>
      <c r="J25" s="6">
        <f t="shared" si="15"/>
        <v>0</v>
      </c>
      <c r="K25" s="2"/>
      <c r="L25" s="7">
        <f t="shared" si="16"/>
        <v>708.55</v>
      </c>
      <c r="M25" s="2"/>
      <c r="N25" s="6">
        <f t="shared" si="17"/>
        <v>0</v>
      </c>
      <c r="O25" s="11"/>
      <c r="P25" s="7">
        <v>1219.3399999999999</v>
      </c>
      <c r="Q25" s="2"/>
      <c r="R25" s="6">
        <f t="shared" si="18"/>
        <v>1.5013921251962098E-2</v>
      </c>
      <c r="S25" s="2"/>
      <c r="T25" s="7"/>
      <c r="U25" s="2"/>
      <c r="V25" s="6">
        <f t="shared" si="19"/>
        <v>0</v>
      </c>
      <c r="W25" s="2"/>
      <c r="X25" s="7">
        <f t="shared" si="20"/>
        <v>1219.3399999999999</v>
      </c>
      <c r="Y25" s="2"/>
      <c r="Z25" s="6">
        <f t="shared" si="21"/>
        <v>0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7">
        <v>685.2</v>
      </c>
      <c r="E26" s="2"/>
      <c r="F26" s="6">
        <f t="shared" si="14"/>
        <v>1.0405275772457334E-2</v>
      </c>
      <c r="G26" s="2"/>
      <c r="H26" s="7"/>
      <c r="I26" s="2"/>
      <c r="J26" s="6">
        <f t="shared" si="15"/>
        <v>0</v>
      </c>
      <c r="K26" s="2"/>
      <c r="L26" s="7">
        <f t="shared" si="16"/>
        <v>685.2</v>
      </c>
      <c r="M26" s="2"/>
      <c r="N26" s="6">
        <f t="shared" si="17"/>
        <v>0</v>
      </c>
      <c r="O26" s="11"/>
      <c r="P26" s="7">
        <v>1409.6</v>
      </c>
      <c r="Q26" s="2"/>
      <c r="R26" s="6">
        <f t="shared" si="18"/>
        <v>1.7356621940365916E-2</v>
      </c>
      <c r="S26" s="2"/>
      <c r="T26" s="7"/>
      <c r="U26" s="2"/>
      <c r="V26" s="6">
        <f t="shared" si="19"/>
        <v>0</v>
      </c>
      <c r="W26" s="2"/>
      <c r="X26" s="7">
        <f t="shared" si="20"/>
        <v>1409.6</v>
      </c>
      <c r="Y26" s="2"/>
      <c r="Z26" s="6">
        <f t="shared" si="21"/>
        <v>0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7">
        <v>51.17</v>
      </c>
      <c r="E27" s="2"/>
      <c r="F27" s="6">
        <f t="shared" si="14"/>
        <v>7.7705481797525069E-4</v>
      </c>
      <c r="G27" s="2"/>
      <c r="H27" s="7"/>
      <c r="I27" s="2"/>
      <c r="J27" s="6">
        <f t="shared" si="15"/>
        <v>0</v>
      </c>
      <c r="K27" s="2"/>
      <c r="L27" s="7">
        <f t="shared" si="16"/>
        <v>51.17</v>
      </c>
      <c r="M27" s="2"/>
      <c r="N27" s="6">
        <f t="shared" si="17"/>
        <v>0</v>
      </c>
      <c r="O27" s="11"/>
      <c r="P27" s="7">
        <v>88.06</v>
      </c>
      <c r="Q27" s="2"/>
      <c r="R27" s="6">
        <f t="shared" si="18"/>
        <v>1.0842963451111113E-3</v>
      </c>
      <c r="S27" s="2"/>
      <c r="T27" s="7"/>
      <c r="U27" s="2"/>
      <c r="V27" s="6">
        <f t="shared" si="19"/>
        <v>0</v>
      </c>
      <c r="W27" s="2"/>
      <c r="X27" s="7">
        <f t="shared" si="20"/>
        <v>88.06</v>
      </c>
      <c r="Y27" s="2"/>
      <c r="Z27" s="6">
        <f t="shared" si="21"/>
        <v>0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7">
        <v>408.69</v>
      </c>
      <c r="E28" s="2"/>
      <c r="F28" s="6">
        <f t="shared" si="14"/>
        <v>6.206264091426719E-3</v>
      </c>
      <c r="G28" s="2"/>
      <c r="H28" s="7"/>
      <c r="I28" s="2"/>
      <c r="J28" s="6">
        <f t="shared" si="15"/>
        <v>0</v>
      </c>
      <c r="K28" s="2"/>
      <c r="L28" s="7">
        <f t="shared" si="16"/>
        <v>408.69</v>
      </c>
      <c r="M28" s="2"/>
      <c r="N28" s="6">
        <f t="shared" si="17"/>
        <v>0</v>
      </c>
      <c r="O28" s="11"/>
      <c r="P28" s="7">
        <v>1062.5899999999999</v>
      </c>
      <c r="Q28" s="2"/>
      <c r="R28" s="6">
        <f t="shared" si="18"/>
        <v>1.308383435557138E-2</v>
      </c>
      <c r="S28" s="2"/>
      <c r="T28" s="7"/>
      <c r="U28" s="2"/>
      <c r="V28" s="6">
        <f t="shared" si="19"/>
        <v>0</v>
      </c>
      <c r="W28" s="2"/>
      <c r="X28" s="7">
        <f t="shared" si="20"/>
        <v>1062.5899999999999</v>
      </c>
      <c r="Y28" s="2"/>
      <c r="Z28" s="6">
        <f t="shared" si="21"/>
        <v>0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>
        <v>268.89999999999998</v>
      </c>
      <c r="E29" s="2"/>
      <c r="F29" s="6">
        <f t="shared" si="14"/>
        <v>4.083448124947135E-3</v>
      </c>
      <c r="G29" s="2"/>
      <c r="H29" s="7"/>
      <c r="I29" s="2"/>
      <c r="J29" s="6">
        <f t="shared" si="15"/>
        <v>0</v>
      </c>
      <c r="K29" s="2"/>
      <c r="L29" s="7">
        <f t="shared" si="16"/>
        <v>268.89999999999998</v>
      </c>
      <c r="M29" s="2"/>
      <c r="N29" s="6">
        <f t="shared" si="17"/>
        <v>0</v>
      </c>
      <c r="O29" s="11"/>
      <c r="P29" s="7">
        <v>683.5</v>
      </c>
      <c r="Q29" s="2"/>
      <c r="R29" s="6">
        <f t="shared" si="18"/>
        <v>8.4160407890466107E-3</v>
      </c>
      <c r="S29" s="2"/>
      <c r="T29" s="7"/>
      <c r="U29" s="2"/>
      <c r="V29" s="6">
        <f t="shared" si="19"/>
        <v>0</v>
      </c>
      <c r="W29" s="2"/>
      <c r="X29" s="7">
        <f t="shared" si="20"/>
        <v>683.5</v>
      </c>
      <c r="Y29" s="2"/>
      <c r="Z29" s="6">
        <f t="shared" si="21"/>
        <v>0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>
        <v>322.16000000000003</v>
      </c>
      <c r="E30" s="2"/>
      <c r="F30" s="6">
        <f t="shared" si="14"/>
        <v>4.8922411600333549E-3</v>
      </c>
      <c r="G30" s="2"/>
      <c r="H30" s="7"/>
      <c r="I30" s="2"/>
      <c r="J30" s="6">
        <f t="shared" si="15"/>
        <v>0</v>
      </c>
      <c r="K30" s="2"/>
      <c r="L30" s="7">
        <f t="shared" si="16"/>
        <v>322.16000000000003</v>
      </c>
      <c r="M30" s="2"/>
      <c r="N30" s="6">
        <f t="shared" si="17"/>
        <v>0</v>
      </c>
      <c r="O30" s="11"/>
      <c r="P30" s="7">
        <v>818.88</v>
      </c>
      <c r="Q30" s="2"/>
      <c r="R30" s="6">
        <f t="shared" si="18"/>
        <v>1.0082995583517907E-2</v>
      </c>
      <c r="S30" s="2"/>
      <c r="T30" s="7"/>
      <c r="U30" s="2"/>
      <c r="V30" s="6">
        <f t="shared" si="19"/>
        <v>0</v>
      </c>
      <c r="W30" s="2"/>
      <c r="X30" s="7">
        <f t="shared" si="20"/>
        <v>818.88</v>
      </c>
      <c r="Y30" s="2"/>
      <c r="Z30" s="6">
        <f t="shared" si="21"/>
        <v>0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7">
        <v>266.93</v>
      </c>
      <c r="E31" s="2"/>
      <c r="F31" s="6">
        <f t="shared" si="14"/>
        <v>4.0535321978138299E-3</v>
      </c>
      <c r="G31" s="2"/>
      <c r="H31" s="7"/>
      <c r="I31" s="2"/>
      <c r="J31" s="6">
        <f t="shared" si="15"/>
        <v>0</v>
      </c>
      <c r="K31" s="2"/>
      <c r="L31" s="7">
        <f t="shared" si="16"/>
        <v>266.93</v>
      </c>
      <c r="M31" s="2"/>
      <c r="N31" s="6">
        <f t="shared" si="17"/>
        <v>0</v>
      </c>
      <c r="O31" s="11"/>
      <c r="P31" s="7">
        <v>570.15</v>
      </c>
      <c r="Q31" s="2"/>
      <c r="R31" s="6">
        <f t="shared" si="18"/>
        <v>7.0203447781637535E-3</v>
      </c>
      <c r="S31" s="2"/>
      <c r="T31" s="7"/>
      <c r="U31" s="2"/>
      <c r="V31" s="6">
        <f t="shared" si="19"/>
        <v>0</v>
      </c>
      <c r="W31" s="2"/>
      <c r="X31" s="7">
        <f t="shared" si="20"/>
        <v>570.15</v>
      </c>
      <c r="Y31" s="2"/>
      <c r="Z31" s="6">
        <f t="shared" si="21"/>
        <v>0</v>
      </c>
    </row>
    <row r="32" spans="1:26" s="27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19543.830000000002</v>
      </c>
      <c r="E32" s="1"/>
      <c r="F32" s="5">
        <f t="shared" ref="F32:F36" si="22">IF(D$12=0,0,D32/D$12)</f>
        <v>0.29678771278462468</v>
      </c>
      <c r="G32" s="1"/>
      <c r="H32" s="1">
        <f>SUM(OSRRefH22_1x_0)</f>
        <v>0</v>
      </c>
      <c r="I32" s="1"/>
      <c r="J32" s="5">
        <f t="shared" ref="J32:J36" si="23">IF(H$12=0,0,H32/H$12)</f>
        <v>0</v>
      </c>
      <c r="K32" s="1"/>
      <c r="L32" s="1">
        <f t="shared" ref="L32:L36" si="24">+D32-H32</f>
        <v>19543.830000000002</v>
      </c>
      <c r="M32" s="1"/>
      <c r="N32" s="5">
        <f t="shared" ref="N32:N36" si="25">IF(H32=0,0,L32/H32)</f>
        <v>0</v>
      </c>
      <c r="O32" s="14"/>
      <c r="P32" s="1">
        <f>SUM(OSRRefP22_1x_0)</f>
        <v>38818.080000000002</v>
      </c>
      <c r="Q32" s="1"/>
      <c r="R32" s="5">
        <f t="shared" ref="R32:R36" si="26">IF(P$12=0,0,P32/P$12)</f>
        <v>0.47797299873076005</v>
      </c>
      <c r="S32" s="1"/>
      <c r="T32" s="1">
        <f>SUM(OSRRefT22_1x_0)</f>
        <v>0</v>
      </c>
      <c r="U32" s="1"/>
      <c r="V32" s="5">
        <f t="shared" ref="V32:V36" si="27">IF(T$12=0,0,T32/T$12)</f>
        <v>0</v>
      </c>
      <c r="W32" s="1"/>
      <c r="X32" s="1">
        <f t="shared" ref="X32:X36" si="28">+P32-T32</f>
        <v>38818.080000000002</v>
      </c>
      <c r="Y32" s="1"/>
      <c r="Z32" s="5">
        <f t="shared" ref="Z32:Z36" si="29">IF(T32=0,0,X32/T32)</f>
        <v>0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>
        <v>5115.3900000000003</v>
      </c>
      <c r="E33" s="2"/>
      <c r="F33" s="6">
        <f t="shared" si="22"/>
        <v>7.7681032740324757E-2</v>
      </c>
      <c r="G33" s="2"/>
      <c r="H33" s="7"/>
      <c r="I33" s="2"/>
      <c r="J33" s="6">
        <f t="shared" si="23"/>
        <v>0</v>
      </c>
      <c r="K33" s="2"/>
      <c r="L33" s="7">
        <f t="shared" si="24"/>
        <v>5115.3900000000003</v>
      </c>
      <c r="M33" s="2"/>
      <c r="N33" s="6">
        <f t="shared" si="25"/>
        <v>0</v>
      </c>
      <c r="O33" s="11"/>
      <c r="P33" s="7">
        <v>15076.77</v>
      </c>
      <c r="Q33" s="2"/>
      <c r="R33" s="6">
        <f t="shared" si="26"/>
        <v>0.18564259149535375</v>
      </c>
      <c r="S33" s="2"/>
      <c r="T33" s="7"/>
      <c r="U33" s="2"/>
      <c r="V33" s="6">
        <f t="shared" si="27"/>
        <v>0</v>
      </c>
      <c r="W33" s="2"/>
      <c r="X33" s="7">
        <f t="shared" si="28"/>
        <v>15076.77</v>
      </c>
      <c r="Y33" s="2"/>
      <c r="Z33" s="6">
        <f t="shared" si="29"/>
        <v>0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7">
        <v>953</v>
      </c>
      <c r="E34" s="2"/>
      <c r="F34" s="6">
        <f t="shared" si="22"/>
        <v>1.4472019572609221E-2</v>
      </c>
      <c r="G34" s="2"/>
      <c r="H34" s="7"/>
      <c r="I34" s="2"/>
      <c r="J34" s="6">
        <f t="shared" si="23"/>
        <v>0</v>
      </c>
      <c r="K34" s="2"/>
      <c r="L34" s="7">
        <f t="shared" si="24"/>
        <v>953</v>
      </c>
      <c r="M34" s="2"/>
      <c r="N34" s="6">
        <f t="shared" si="25"/>
        <v>0</v>
      </c>
      <c r="O34" s="11"/>
      <c r="P34" s="7">
        <v>1282.8800000000001</v>
      </c>
      <c r="Q34" s="2"/>
      <c r="R34" s="6">
        <f t="shared" si="26"/>
        <v>1.5796299059915316E-2</v>
      </c>
      <c r="S34" s="2"/>
      <c r="T34" s="7"/>
      <c r="U34" s="2"/>
      <c r="V34" s="6">
        <f t="shared" si="27"/>
        <v>0</v>
      </c>
      <c r="W34" s="2"/>
      <c r="X34" s="7">
        <f t="shared" si="28"/>
        <v>1282.8800000000001</v>
      </c>
      <c r="Y34" s="2"/>
      <c r="Z34" s="6">
        <f t="shared" si="29"/>
        <v>0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7">
        <v>3168.08</v>
      </c>
      <c r="E35" s="2"/>
      <c r="F35" s="6">
        <f t="shared" si="22"/>
        <v>4.8109670270295724E-2</v>
      </c>
      <c r="G35" s="2"/>
      <c r="H35" s="7"/>
      <c r="I35" s="2"/>
      <c r="J35" s="6">
        <f t="shared" si="23"/>
        <v>0</v>
      </c>
      <c r="K35" s="2"/>
      <c r="L35" s="7">
        <f t="shared" si="24"/>
        <v>3168.08</v>
      </c>
      <c r="M35" s="2"/>
      <c r="N35" s="6">
        <f t="shared" si="25"/>
        <v>0</v>
      </c>
      <c r="O35" s="11"/>
      <c r="P35" s="7">
        <v>4632.8900000000003</v>
      </c>
      <c r="Q35" s="2"/>
      <c r="R35" s="6">
        <f t="shared" si="26"/>
        <v>5.704548823872152E-2</v>
      </c>
      <c r="S35" s="2"/>
      <c r="T35" s="7"/>
      <c r="U35" s="2"/>
      <c r="V35" s="6">
        <f t="shared" si="27"/>
        <v>0</v>
      </c>
      <c r="W35" s="2"/>
      <c r="X35" s="7">
        <f t="shared" si="28"/>
        <v>4632.8900000000003</v>
      </c>
      <c r="Y35" s="2"/>
      <c r="Z35" s="6">
        <f t="shared" si="29"/>
        <v>0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7">
        <v>10307.36</v>
      </c>
      <c r="E36" s="2"/>
      <c r="F36" s="6">
        <f t="shared" si="22"/>
        <v>0.15652499020139496</v>
      </c>
      <c r="G36" s="2"/>
      <c r="H36" s="7"/>
      <c r="I36" s="2"/>
      <c r="J36" s="6">
        <f t="shared" si="23"/>
        <v>0</v>
      </c>
      <c r="K36" s="2"/>
      <c r="L36" s="7">
        <f t="shared" si="24"/>
        <v>10307.36</v>
      </c>
      <c r="M36" s="2"/>
      <c r="N36" s="6">
        <f t="shared" si="25"/>
        <v>0</v>
      </c>
      <c r="O36" s="11"/>
      <c r="P36" s="7">
        <v>17825.54</v>
      </c>
      <c r="Q36" s="2"/>
      <c r="R36" s="6">
        <f t="shared" si="26"/>
        <v>0.21948861993676949</v>
      </c>
      <c r="S36" s="2"/>
      <c r="T36" s="7"/>
      <c r="U36" s="2"/>
      <c r="V36" s="6">
        <f t="shared" si="27"/>
        <v>0</v>
      </c>
      <c r="W36" s="2"/>
      <c r="X36" s="7">
        <f t="shared" si="28"/>
        <v>17825.54</v>
      </c>
      <c r="Y36" s="2"/>
      <c r="Z36" s="6">
        <f t="shared" si="29"/>
        <v>0</v>
      </c>
    </row>
    <row r="37" spans="1:26" s="27" customFormat="1" outlineLevel="1" collapsed="1" x14ac:dyDescent="0.25">
      <c r="A37" s="29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134.65</v>
      </c>
      <c r="E37" s="1"/>
      <c r="F37" s="5">
        <f t="shared" ref="F37:F45" si="30">IF(D$12=0,0,D37/D$12)</f>
        <v>2.0447612124363398E-3</v>
      </c>
      <c r="G37" s="1"/>
      <c r="H37" s="1">
        <f>SUM(OSRRefH22_2x_0)</f>
        <v>0</v>
      </c>
      <c r="I37" s="1"/>
      <c r="J37" s="5">
        <f t="shared" ref="J37:J45" si="31">IF(H$12=0,0,H37/H$12)</f>
        <v>0</v>
      </c>
      <c r="K37" s="1"/>
      <c r="L37" s="1">
        <f t="shared" ref="L37:L45" si="32">+D37-H37</f>
        <v>134.65</v>
      </c>
      <c r="M37" s="1"/>
      <c r="N37" s="5">
        <f t="shared" ref="N37:N45" si="33">IF(H37=0,0,L37/H37)</f>
        <v>0</v>
      </c>
      <c r="O37" s="14"/>
      <c r="P37" s="1">
        <f>SUM(OSRRefP22_2x_0)</f>
        <v>209.79</v>
      </c>
      <c r="Q37" s="1"/>
      <c r="R37" s="5">
        <f t="shared" ref="R37:R45" si="34">IF(P$12=0,0,P37/P$12)</f>
        <v>2.5831765868823534E-3</v>
      </c>
      <c r="S37" s="1"/>
      <c r="T37" s="1">
        <f>SUM(OSRRefT22_2x_0)</f>
        <v>0</v>
      </c>
      <c r="U37" s="1"/>
      <c r="V37" s="5">
        <f t="shared" ref="V37:V45" si="35">IF(T$12=0,0,T37/T$12)</f>
        <v>0</v>
      </c>
      <c r="W37" s="1"/>
      <c r="X37" s="1">
        <f t="shared" ref="X37:X45" si="36">+P37-T37</f>
        <v>209.79</v>
      </c>
      <c r="Y37" s="1"/>
      <c r="Z37" s="5">
        <f t="shared" ref="Z37:Z45" si="37">IF(T37=0,0,X37/T37)</f>
        <v>0</v>
      </c>
    </row>
    <row r="38" spans="1:26" s="24" customFormat="1" hidden="1" outlineLevel="2" x14ac:dyDescent="0.25">
      <c r="A38" s="28"/>
      <c r="B38" s="11" t="str">
        <f>CONCATENATE("          ", "6362", " - ", "ADVERTISING EXPENSE")</f>
        <v xml:space="preserve">          6362 - ADVERTISING EXPENSE</v>
      </c>
      <c r="C38" s="11"/>
      <c r="D38" s="7">
        <v>134.65</v>
      </c>
      <c r="E38" s="2"/>
      <c r="F38" s="6">
        <f t="shared" si="30"/>
        <v>2.0447612124363398E-3</v>
      </c>
      <c r="G38" s="2"/>
      <c r="H38" s="7"/>
      <c r="I38" s="2"/>
      <c r="J38" s="6">
        <f t="shared" si="31"/>
        <v>0</v>
      </c>
      <c r="K38" s="2"/>
      <c r="L38" s="7">
        <f t="shared" si="32"/>
        <v>134.65</v>
      </c>
      <c r="M38" s="2"/>
      <c r="N38" s="6">
        <f t="shared" si="33"/>
        <v>0</v>
      </c>
      <c r="O38" s="11"/>
      <c r="P38" s="7">
        <v>209.79</v>
      </c>
      <c r="Q38" s="2"/>
      <c r="R38" s="6">
        <f t="shared" si="34"/>
        <v>2.5831765868823534E-3</v>
      </c>
      <c r="S38" s="2"/>
      <c r="T38" s="7"/>
      <c r="U38" s="2"/>
      <c r="V38" s="6">
        <f t="shared" si="35"/>
        <v>0</v>
      </c>
      <c r="W38" s="2"/>
      <c r="X38" s="7">
        <f t="shared" si="36"/>
        <v>209.79</v>
      </c>
      <c r="Y38" s="2"/>
      <c r="Z38" s="6">
        <f t="shared" si="37"/>
        <v>0</v>
      </c>
    </row>
    <row r="39" spans="1:26" s="27" customFormat="1" outlineLevel="1" collapsed="1" x14ac:dyDescent="0.25">
      <c r="A39" s="29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7.49</v>
      </c>
      <c r="E39" s="1"/>
      <c r="F39" s="5">
        <f t="shared" si="30"/>
        <v>1.1374126610581645E-4</v>
      </c>
      <c r="G39" s="1"/>
      <c r="H39" s="1">
        <f>SUM(OSRRefH22_3x_0)</f>
        <v>0</v>
      </c>
      <c r="I39" s="1"/>
      <c r="J39" s="5">
        <f t="shared" si="31"/>
        <v>0</v>
      </c>
      <c r="K39" s="1"/>
      <c r="L39" s="1">
        <f t="shared" si="32"/>
        <v>7.49</v>
      </c>
      <c r="M39" s="1"/>
      <c r="N39" s="5">
        <f t="shared" si="33"/>
        <v>0</v>
      </c>
      <c r="O39" s="14"/>
      <c r="P39" s="1">
        <f>SUM(OSRRefP22_3x_0)</f>
        <v>-94.51</v>
      </c>
      <c r="Q39" s="1"/>
      <c r="R39" s="5">
        <f t="shared" si="34"/>
        <v>-1.163716188694653E-3</v>
      </c>
      <c r="S39" s="1"/>
      <c r="T39" s="1">
        <f>SUM(OSRRefT22_3x_0)</f>
        <v>0</v>
      </c>
      <c r="U39" s="1"/>
      <c r="V39" s="5">
        <f t="shared" si="35"/>
        <v>0</v>
      </c>
      <c r="W39" s="1"/>
      <c r="X39" s="1">
        <f t="shared" si="36"/>
        <v>-94.51</v>
      </c>
      <c r="Y39" s="1"/>
      <c r="Z39" s="5">
        <f t="shared" si="37"/>
        <v>0</v>
      </c>
    </row>
    <row r="40" spans="1:26" s="24" customFormat="1" hidden="1" outlineLevel="2" x14ac:dyDescent="0.25">
      <c r="A40" s="28"/>
      <c r="B40" s="11" t="str">
        <f>CONCATENATE("          ", "6272", " - ", "CASH (OVER/SHORT)")</f>
        <v xml:space="preserve">          6272 - CASH (OVER/SHORT)</v>
      </c>
      <c r="C40" s="11"/>
      <c r="D40" s="7">
        <v>7.49</v>
      </c>
      <c r="E40" s="2"/>
      <c r="F40" s="6">
        <f t="shared" si="30"/>
        <v>1.1374126610581645E-4</v>
      </c>
      <c r="G40" s="2"/>
      <c r="H40" s="7"/>
      <c r="I40" s="2"/>
      <c r="J40" s="6">
        <f t="shared" si="31"/>
        <v>0</v>
      </c>
      <c r="K40" s="2"/>
      <c r="L40" s="7">
        <f t="shared" si="32"/>
        <v>7.49</v>
      </c>
      <c r="M40" s="2"/>
      <c r="N40" s="6">
        <f t="shared" si="33"/>
        <v>0</v>
      </c>
      <c r="O40" s="11"/>
      <c r="P40" s="7">
        <v>-94.51</v>
      </c>
      <c r="Q40" s="2"/>
      <c r="R40" s="6">
        <f t="shared" si="34"/>
        <v>-1.163716188694653E-3</v>
      </c>
      <c r="S40" s="2"/>
      <c r="T40" s="7"/>
      <c r="U40" s="2"/>
      <c r="V40" s="6">
        <f t="shared" si="35"/>
        <v>0</v>
      </c>
      <c r="W40" s="2"/>
      <c r="X40" s="7">
        <f t="shared" si="36"/>
        <v>-94.51</v>
      </c>
      <c r="Y40" s="2"/>
      <c r="Z40" s="6">
        <f t="shared" si="37"/>
        <v>0</v>
      </c>
    </row>
    <row r="41" spans="1:26" s="27" customFormat="1" outlineLevel="1" collapsed="1" x14ac:dyDescent="0.25">
      <c r="A41" s="29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2587.71</v>
      </c>
      <c r="E41" s="1"/>
      <c r="F41" s="5">
        <f t="shared" si="30"/>
        <v>3.9296316650825405E-2</v>
      </c>
      <c r="G41" s="1"/>
      <c r="H41" s="1">
        <f>SUM(OSRRefH22_4x_0)</f>
        <v>0</v>
      </c>
      <c r="I41" s="1"/>
      <c r="J41" s="5">
        <f t="shared" si="31"/>
        <v>0</v>
      </c>
      <c r="K41" s="1"/>
      <c r="L41" s="1">
        <f t="shared" si="32"/>
        <v>2587.71</v>
      </c>
      <c r="M41" s="1"/>
      <c r="N41" s="5">
        <f t="shared" si="33"/>
        <v>0</v>
      </c>
      <c r="O41" s="14"/>
      <c r="P41" s="1">
        <f>SUM(OSRRefP22_4x_0)</f>
        <v>3309.52</v>
      </c>
      <c r="Q41" s="1"/>
      <c r="R41" s="5">
        <f t="shared" si="34"/>
        <v>4.0750629571566263E-2</v>
      </c>
      <c r="S41" s="1"/>
      <c r="T41" s="1">
        <f>SUM(OSRRefT22_4x_0)</f>
        <v>0</v>
      </c>
      <c r="U41" s="1"/>
      <c r="V41" s="5">
        <f t="shared" si="35"/>
        <v>0</v>
      </c>
      <c r="W41" s="1"/>
      <c r="X41" s="1">
        <f t="shared" si="36"/>
        <v>3309.52</v>
      </c>
      <c r="Y41" s="1"/>
      <c r="Z41" s="5">
        <f t="shared" si="37"/>
        <v>0</v>
      </c>
    </row>
    <row r="42" spans="1:26" s="24" customFormat="1" hidden="1" outlineLevel="2" x14ac:dyDescent="0.25">
      <c r="A42" s="28"/>
      <c r="B42" s="11" t="str">
        <f>CONCATENATE("          ", "6381", " - ", "BANK/CREDIT CARD FEES")</f>
        <v xml:space="preserve">          6381 - BANK/CREDIT CARD FEES</v>
      </c>
      <c r="C42" s="11"/>
      <c r="D42" s="7">
        <v>2587.71</v>
      </c>
      <c r="E42" s="2"/>
      <c r="F42" s="6">
        <f t="shared" si="30"/>
        <v>3.9296316650825405E-2</v>
      </c>
      <c r="G42" s="2"/>
      <c r="H42" s="7"/>
      <c r="I42" s="2"/>
      <c r="J42" s="6">
        <f t="shared" si="31"/>
        <v>0</v>
      </c>
      <c r="K42" s="2"/>
      <c r="L42" s="7">
        <f t="shared" si="32"/>
        <v>2587.71</v>
      </c>
      <c r="M42" s="2"/>
      <c r="N42" s="6">
        <f t="shared" si="33"/>
        <v>0</v>
      </c>
      <c r="O42" s="11"/>
      <c r="P42" s="7">
        <v>3309.52</v>
      </c>
      <c r="Q42" s="2"/>
      <c r="R42" s="6">
        <f t="shared" si="34"/>
        <v>4.0750629571566263E-2</v>
      </c>
      <c r="S42" s="2"/>
      <c r="T42" s="7"/>
      <c r="U42" s="2"/>
      <c r="V42" s="6">
        <f t="shared" si="35"/>
        <v>0</v>
      </c>
      <c r="W42" s="2"/>
      <c r="X42" s="7">
        <f t="shared" si="36"/>
        <v>3309.52</v>
      </c>
      <c r="Y42" s="2"/>
      <c r="Z42" s="6">
        <f t="shared" si="37"/>
        <v>0</v>
      </c>
    </row>
    <row r="43" spans="1:26" s="27" customFormat="1" outlineLevel="1" collapsed="1" x14ac:dyDescent="0.25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4626.5</v>
      </c>
      <c r="E43" s="1"/>
      <c r="F43" s="5">
        <f t="shared" si="30"/>
        <v>7.025687151382641E-2</v>
      </c>
      <c r="G43" s="1"/>
      <c r="H43" s="1">
        <f>SUM(OSRRefH22_5x_0)</f>
        <v>5330.05</v>
      </c>
      <c r="I43" s="1"/>
      <c r="J43" s="5">
        <f t="shared" si="31"/>
        <v>0</v>
      </c>
      <c r="K43" s="1"/>
      <c r="L43" s="1">
        <f t="shared" si="32"/>
        <v>-703.55000000000018</v>
      </c>
      <c r="M43" s="1"/>
      <c r="N43" s="5">
        <f t="shared" si="33"/>
        <v>-0.13199688558268688</v>
      </c>
      <c r="O43" s="14"/>
      <c r="P43" s="1">
        <f>SUM(OSRRefP22_5x_0)</f>
        <v>13879.5</v>
      </c>
      <c r="Q43" s="1"/>
      <c r="R43" s="5">
        <f t="shared" si="34"/>
        <v>0.17090042155314183</v>
      </c>
      <c r="S43" s="1"/>
      <c r="T43" s="1">
        <f>SUM(OSRRefT22_5x_0)</f>
        <v>15990.15</v>
      </c>
      <c r="U43" s="1"/>
      <c r="V43" s="5">
        <f t="shared" si="35"/>
        <v>0</v>
      </c>
      <c r="W43" s="1"/>
      <c r="X43" s="1">
        <f t="shared" si="36"/>
        <v>-2110.6499999999996</v>
      </c>
      <c r="Y43" s="1"/>
      <c r="Z43" s="5">
        <f t="shared" si="37"/>
        <v>-0.13199688558268682</v>
      </c>
    </row>
    <row r="44" spans="1:26" s="24" customFormat="1" hidden="1" outlineLevel="2" x14ac:dyDescent="0.25">
      <c r="A44" s="28"/>
      <c r="B44" s="11" t="str">
        <f>CONCATENATE("          ", "6321", " - ", "BUILDING DEPRECIATION")</f>
        <v xml:space="preserve">          6321 - BUILDING DEPRECIATION</v>
      </c>
      <c r="C44" s="11"/>
      <c r="D44" s="7">
        <v>4626.5</v>
      </c>
      <c r="E44" s="2"/>
      <c r="F44" s="6">
        <f t="shared" si="30"/>
        <v>7.025687151382641E-2</v>
      </c>
      <c r="G44" s="2"/>
      <c r="H44" s="7">
        <v>4626.5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>
        <v>13879.5</v>
      </c>
      <c r="Q44" s="2"/>
      <c r="R44" s="6">
        <f t="shared" si="34"/>
        <v>0.17090042155314183</v>
      </c>
      <c r="S44" s="2"/>
      <c r="T44" s="7">
        <v>13879.5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7"/>
      <c r="E45" s="2"/>
      <c r="F45" s="6">
        <f t="shared" si="30"/>
        <v>0</v>
      </c>
      <c r="G45" s="2"/>
      <c r="H45" s="7">
        <v>703.55</v>
      </c>
      <c r="I45" s="2"/>
      <c r="J45" s="6">
        <f t="shared" si="31"/>
        <v>0</v>
      </c>
      <c r="K45" s="2"/>
      <c r="L45" s="7">
        <f t="shared" si="32"/>
        <v>-703.55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2110.65</v>
      </c>
      <c r="U45" s="2"/>
      <c r="V45" s="6">
        <f t="shared" si="35"/>
        <v>0</v>
      </c>
      <c r="W45" s="2"/>
      <c r="X45" s="7">
        <f t="shared" si="36"/>
        <v>-2110.65</v>
      </c>
      <c r="Y45" s="2"/>
      <c r="Z45" s="6">
        <f t="shared" si="37"/>
        <v>-1</v>
      </c>
    </row>
    <row r="46" spans="1:26" s="27" customFormat="1" outlineLevel="1" collapsed="1" x14ac:dyDescent="0.25">
      <c r="A46" s="29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0</v>
      </c>
      <c r="E46" s="1"/>
      <c r="F46" s="5">
        <f t="shared" ref="F46:F54" si="38">IF(D$12=0,0,D46/D$12)</f>
        <v>0</v>
      </c>
      <c r="G46" s="1"/>
      <c r="H46" s="1">
        <f>SUM(OSRRefH22_6x_0)</f>
        <v>96.3</v>
      </c>
      <c r="I46" s="1"/>
      <c r="J46" s="5">
        <f t="shared" ref="J46:J54" si="39">IF(H$12=0,0,H46/H$12)</f>
        <v>0</v>
      </c>
      <c r="K46" s="1"/>
      <c r="L46" s="1">
        <f t="shared" ref="L46:L54" si="40">+D46-H46</f>
        <v>-96.3</v>
      </c>
      <c r="M46" s="1"/>
      <c r="N46" s="5">
        <f t="shared" ref="N46:N54" si="41">IF(H46=0,0,L46/H46)</f>
        <v>-1</v>
      </c>
      <c r="O46" s="14"/>
      <c r="P46" s="1">
        <f>SUM(OSRRefP22_6x_0)</f>
        <v>0</v>
      </c>
      <c r="Q46" s="1"/>
      <c r="R46" s="5">
        <f t="shared" ref="R46:R54" si="42">IF(P$12=0,0,P46/P$12)</f>
        <v>0</v>
      </c>
      <c r="S46" s="1"/>
      <c r="T46" s="1">
        <f>SUM(OSRRefT22_6x_0)</f>
        <v>96.3</v>
      </c>
      <c r="U46" s="1"/>
      <c r="V46" s="5">
        <f t="shared" ref="V46:V54" si="43">IF(T$12=0,0,T46/T$12)</f>
        <v>0</v>
      </c>
      <c r="W46" s="1"/>
      <c r="X46" s="1">
        <f t="shared" ref="X46:X54" si="44">+P46-T46</f>
        <v>-96.3</v>
      </c>
      <c r="Y46" s="1"/>
      <c r="Z46" s="5">
        <f t="shared" ref="Z46:Z54" si="45">IF(T46=0,0,X46/T46)</f>
        <v>-1</v>
      </c>
    </row>
    <row r="47" spans="1:26" s="24" customFormat="1" hidden="1" outlineLevel="2" x14ac:dyDescent="0.25">
      <c r="A47" s="28"/>
      <c r="B47" s="11" t="str">
        <f>CONCATENATE("          ", "6351", " - ", "EQUIPMENT RENTAL")</f>
        <v xml:space="preserve">          6351 - EQUIPMENT RENTAL</v>
      </c>
      <c r="C47" s="11"/>
      <c r="D47" s="7"/>
      <c r="E47" s="2"/>
      <c r="F47" s="6">
        <f t="shared" si="38"/>
        <v>0</v>
      </c>
      <c r="G47" s="2"/>
      <c r="H47" s="7">
        <v>96.3</v>
      </c>
      <c r="I47" s="2"/>
      <c r="J47" s="6">
        <f t="shared" si="39"/>
        <v>0</v>
      </c>
      <c r="K47" s="2"/>
      <c r="L47" s="7">
        <f t="shared" si="40"/>
        <v>-96.3</v>
      </c>
      <c r="M47" s="2"/>
      <c r="N47" s="6">
        <f t="shared" si="41"/>
        <v>-1</v>
      </c>
      <c r="O47" s="11"/>
      <c r="P47" s="7"/>
      <c r="Q47" s="2"/>
      <c r="R47" s="6">
        <f t="shared" si="42"/>
        <v>0</v>
      </c>
      <c r="S47" s="2"/>
      <c r="T47" s="7">
        <v>96.3</v>
      </c>
      <c r="U47" s="2"/>
      <c r="V47" s="6">
        <f t="shared" si="43"/>
        <v>0</v>
      </c>
      <c r="W47" s="2"/>
      <c r="X47" s="7">
        <f t="shared" si="44"/>
        <v>-96.3</v>
      </c>
      <c r="Y47" s="2"/>
      <c r="Z47" s="6">
        <f t="shared" si="45"/>
        <v>-1</v>
      </c>
    </row>
    <row r="48" spans="1:26" s="27" customFormat="1" outlineLevel="1" collapsed="1" x14ac:dyDescent="0.25">
      <c r="A48" s="29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0</v>
      </c>
      <c r="E48" s="1"/>
      <c r="F48" s="5">
        <f t="shared" si="38"/>
        <v>0</v>
      </c>
      <c r="G48" s="1"/>
      <c r="H48" s="1">
        <f>SUM(OSRRefH22_7x_0)</f>
        <v>0</v>
      </c>
      <c r="I48" s="1"/>
      <c r="J48" s="5">
        <f t="shared" si="39"/>
        <v>0</v>
      </c>
      <c r="K48" s="1"/>
      <c r="L48" s="1">
        <f t="shared" si="40"/>
        <v>0</v>
      </c>
      <c r="M48" s="1"/>
      <c r="N48" s="5">
        <f t="shared" si="41"/>
        <v>0</v>
      </c>
      <c r="O48" s="14"/>
      <c r="P48" s="1">
        <f>SUM(OSRRefP22_7x_0)</f>
        <v>1887.3</v>
      </c>
      <c r="Q48" s="1"/>
      <c r="R48" s="5">
        <f t="shared" si="42"/>
        <v>2.3238615627165574E-2</v>
      </c>
      <c r="S48" s="1"/>
      <c r="T48" s="1">
        <f>SUM(OSRRefT22_7x_0)</f>
        <v>0</v>
      </c>
      <c r="U48" s="1"/>
      <c r="V48" s="5">
        <f t="shared" si="43"/>
        <v>0</v>
      </c>
      <c r="W48" s="1"/>
      <c r="X48" s="1">
        <f t="shared" si="44"/>
        <v>1887.3</v>
      </c>
      <c r="Y48" s="1"/>
      <c r="Z48" s="5">
        <f t="shared" si="45"/>
        <v>0</v>
      </c>
    </row>
    <row r="49" spans="1:26" s="24" customFormat="1" hidden="1" outlineLevel="2" x14ac:dyDescent="0.25">
      <c r="A49" s="28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38"/>
        <v>0</v>
      </c>
      <c r="G49" s="2"/>
      <c r="H49" s="7"/>
      <c r="I49" s="2"/>
      <c r="J49" s="6">
        <f t="shared" si="39"/>
        <v>0</v>
      </c>
      <c r="K49" s="2"/>
      <c r="L49" s="7">
        <f t="shared" si="40"/>
        <v>0</v>
      </c>
      <c r="M49" s="2"/>
      <c r="N49" s="6">
        <f t="shared" si="41"/>
        <v>0</v>
      </c>
      <c r="O49" s="11"/>
      <c r="P49" s="7">
        <v>1887.3</v>
      </c>
      <c r="Q49" s="2"/>
      <c r="R49" s="6">
        <f t="shared" si="42"/>
        <v>2.3238615627165574E-2</v>
      </c>
      <c r="S49" s="2"/>
      <c r="T49" s="7">
        <v>0</v>
      </c>
      <c r="U49" s="2"/>
      <c r="V49" s="6">
        <f t="shared" si="43"/>
        <v>0</v>
      </c>
      <c r="W49" s="2"/>
      <c r="X49" s="7">
        <f t="shared" si="44"/>
        <v>1887.3</v>
      </c>
      <c r="Y49" s="2"/>
      <c r="Z49" s="6">
        <f t="shared" si="45"/>
        <v>0</v>
      </c>
    </row>
    <row r="50" spans="1:26" s="27" customFormat="1" outlineLevel="1" collapsed="1" x14ac:dyDescent="0.25">
      <c r="A50" s="29"/>
      <c r="B50" s="14" t="str">
        <f>CONCATENATE("     ","Rent                                              ")</f>
        <v xml:space="preserve">     Rent                                              </v>
      </c>
      <c r="C50" s="14"/>
      <c r="D50" s="1">
        <f>SUM(OSRRefD22_8x_0)</f>
        <v>1850</v>
      </c>
      <c r="E50" s="1"/>
      <c r="F50" s="5">
        <f t="shared" si="38"/>
        <v>2.8093637155642247E-2</v>
      </c>
      <c r="G50" s="1"/>
      <c r="H50" s="1">
        <f>SUM(OSRRefH22_8x_0)</f>
        <v>5550</v>
      </c>
      <c r="I50" s="1"/>
      <c r="J50" s="5">
        <f t="shared" si="39"/>
        <v>0</v>
      </c>
      <c r="K50" s="1"/>
      <c r="L50" s="1">
        <f t="shared" si="40"/>
        <v>-3700</v>
      </c>
      <c r="M50" s="1"/>
      <c r="N50" s="5">
        <f t="shared" si="41"/>
        <v>-0.66666666666666663</v>
      </c>
      <c r="O50" s="14"/>
      <c r="P50" s="1">
        <f>SUM(OSRRefP22_8x_0)</f>
        <v>5550</v>
      </c>
      <c r="Q50" s="1"/>
      <c r="R50" s="5">
        <f t="shared" si="42"/>
        <v>6.8338004943977612E-2</v>
      </c>
      <c r="S50" s="1"/>
      <c r="T50" s="1">
        <f>SUM(OSRRefT22_8x_0)</f>
        <v>5550</v>
      </c>
      <c r="U50" s="1"/>
      <c r="V50" s="5">
        <f t="shared" si="43"/>
        <v>0</v>
      </c>
      <c r="W50" s="1"/>
      <c r="X50" s="1">
        <f t="shared" si="44"/>
        <v>0</v>
      </c>
      <c r="Y50" s="1"/>
      <c r="Z50" s="5">
        <f t="shared" si="45"/>
        <v>0</v>
      </c>
    </row>
    <row r="51" spans="1:26" s="24" customFormat="1" hidden="1" outlineLevel="2" x14ac:dyDescent="0.25">
      <c r="A51" s="28"/>
      <c r="B51" s="11" t="str">
        <f>CONCATENATE("          ", "6273", " - ", "RENT")</f>
        <v xml:space="preserve">          6273 - RENT</v>
      </c>
      <c r="C51" s="11"/>
      <c r="D51" s="7">
        <v>1850</v>
      </c>
      <c r="E51" s="2"/>
      <c r="F51" s="6">
        <f t="shared" si="38"/>
        <v>2.8093637155642247E-2</v>
      </c>
      <c r="G51" s="2"/>
      <c r="H51" s="7">
        <v>5550</v>
      </c>
      <c r="I51" s="2"/>
      <c r="J51" s="6">
        <f t="shared" si="39"/>
        <v>0</v>
      </c>
      <c r="K51" s="2"/>
      <c r="L51" s="7">
        <f t="shared" si="40"/>
        <v>-3700</v>
      </c>
      <c r="M51" s="2"/>
      <c r="N51" s="6">
        <f t="shared" si="41"/>
        <v>-0.66666666666666663</v>
      </c>
      <c r="O51" s="11"/>
      <c r="P51" s="7">
        <v>5550</v>
      </c>
      <c r="Q51" s="2"/>
      <c r="R51" s="6">
        <f t="shared" si="42"/>
        <v>6.8338004943977612E-2</v>
      </c>
      <c r="S51" s="2"/>
      <c r="T51" s="7">
        <v>5550</v>
      </c>
      <c r="U51" s="2"/>
      <c r="V51" s="6">
        <f t="shared" si="43"/>
        <v>0</v>
      </c>
      <c r="W51" s="2"/>
      <c r="X51" s="7">
        <f t="shared" si="44"/>
        <v>0</v>
      </c>
      <c r="Y51" s="2"/>
      <c r="Z51" s="6">
        <f t="shared" si="45"/>
        <v>0</v>
      </c>
    </row>
    <row r="52" spans="1:26" s="27" customFormat="1" outlineLevel="1" collapsed="1" x14ac:dyDescent="0.25">
      <c r="A52" s="29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SUM(OSRRefD22_9x_0)</f>
        <v>71.86</v>
      </c>
      <c r="E52" s="1"/>
      <c r="F52" s="5">
        <f t="shared" si="38"/>
        <v>1.091247981624028E-3</v>
      </c>
      <c r="G52" s="1"/>
      <c r="H52" s="1">
        <f>SUM(OSRRefH22_9x_0)</f>
        <v>272.35000000000002</v>
      </c>
      <c r="I52" s="1"/>
      <c r="J52" s="5">
        <f t="shared" si="39"/>
        <v>0</v>
      </c>
      <c r="K52" s="1"/>
      <c r="L52" s="1">
        <f t="shared" si="40"/>
        <v>-200.49</v>
      </c>
      <c r="M52" s="1"/>
      <c r="N52" s="5">
        <f t="shared" si="41"/>
        <v>-0.7361483385349733</v>
      </c>
      <c r="O52" s="14"/>
      <c r="P52" s="1">
        <f>SUM(OSRRefP22_9x_0)</f>
        <v>1867.8899999999999</v>
      </c>
      <c r="Q52" s="1"/>
      <c r="R52" s="5">
        <f t="shared" si="42"/>
        <v>2.2999617307172312E-2</v>
      </c>
      <c r="S52" s="1"/>
      <c r="T52" s="1">
        <f>SUM(OSRRefT22_9x_0)</f>
        <v>692.95</v>
      </c>
      <c r="U52" s="1"/>
      <c r="V52" s="5">
        <f t="shared" si="43"/>
        <v>0</v>
      </c>
      <c r="W52" s="1"/>
      <c r="X52" s="1">
        <f t="shared" si="44"/>
        <v>1174.9399999999998</v>
      </c>
      <c r="Y52" s="1"/>
      <c r="Z52" s="5">
        <f t="shared" si="45"/>
        <v>1.6955624503932458</v>
      </c>
    </row>
    <row r="53" spans="1:26" s="24" customFormat="1" hidden="1" outlineLevel="2" x14ac:dyDescent="0.25">
      <c r="A53" s="28"/>
      <c r="B53" s="11" t="str">
        <f>CONCATENATE("          ", "6373", " - ", "MAINTENANCE CONTRACTS")</f>
        <v xml:space="preserve">          6373 - MAINTENANCE CONTRACTS</v>
      </c>
      <c r="C53" s="11"/>
      <c r="D53" s="7">
        <v>71.86</v>
      </c>
      <c r="E53" s="2"/>
      <c r="F53" s="6">
        <f t="shared" si="38"/>
        <v>1.091247981624028E-3</v>
      </c>
      <c r="G53" s="2"/>
      <c r="H53" s="7">
        <v>72.349999999999994</v>
      </c>
      <c r="I53" s="2"/>
      <c r="J53" s="6">
        <f t="shared" si="39"/>
        <v>0</v>
      </c>
      <c r="K53" s="2"/>
      <c r="L53" s="7">
        <f t="shared" si="40"/>
        <v>-0.48999999999999488</v>
      </c>
      <c r="M53" s="2"/>
      <c r="N53" s="6">
        <f t="shared" si="41"/>
        <v>-6.7726330338630947E-3</v>
      </c>
      <c r="O53" s="11"/>
      <c r="P53" s="7">
        <v>71.86</v>
      </c>
      <c r="Q53" s="2"/>
      <c r="R53" s="6">
        <f t="shared" si="42"/>
        <v>8.848232495989605E-4</v>
      </c>
      <c r="S53" s="2"/>
      <c r="T53" s="7">
        <v>150.94999999999999</v>
      </c>
      <c r="U53" s="2"/>
      <c r="V53" s="6">
        <f t="shared" si="43"/>
        <v>0</v>
      </c>
      <c r="W53" s="2"/>
      <c r="X53" s="7">
        <f t="shared" si="44"/>
        <v>-79.089999999999989</v>
      </c>
      <c r="Y53" s="2"/>
      <c r="Z53" s="6">
        <f t="shared" si="45"/>
        <v>-0.5239483272606823</v>
      </c>
    </row>
    <row r="54" spans="1:26" s="24" customFormat="1" hidden="1" outlineLevel="2" x14ac:dyDescent="0.25">
      <c r="A54" s="28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38"/>
        <v>0</v>
      </c>
      <c r="G54" s="2"/>
      <c r="H54" s="7">
        <v>200</v>
      </c>
      <c r="I54" s="2"/>
      <c r="J54" s="6">
        <f t="shared" si="39"/>
        <v>0</v>
      </c>
      <c r="K54" s="2"/>
      <c r="L54" s="7">
        <f t="shared" si="40"/>
        <v>-200</v>
      </c>
      <c r="M54" s="2"/>
      <c r="N54" s="6">
        <f t="shared" si="41"/>
        <v>-1</v>
      </c>
      <c r="O54" s="11"/>
      <c r="P54" s="7">
        <v>1796.03</v>
      </c>
      <c r="Q54" s="2"/>
      <c r="R54" s="6">
        <f t="shared" si="42"/>
        <v>2.2114794057573352E-2</v>
      </c>
      <c r="S54" s="2"/>
      <c r="T54" s="7">
        <v>542</v>
      </c>
      <c r="U54" s="2"/>
      <c r="V54" s="6">
        <f t="shared" si="43"/>
        <v>0</v>
      </c>
      <c r="W54" s="2"/>
      <c r="X54" s="7">
        <f t="shared" si="44"/>
        <v>1254.03</v>
      </c>
      <c r="Y54" s="2"/>
      <c r="Z54" s="6">
        <f t="shared" si="45"/>
        <v>2.3137084870848708</v>
      </c>
    </row>
    <row r="55" spans="1:26" s="27" customFormat="1" outlineLevel="1" collapsed="1" x14ac:dyDescent="0.25">
      <c r="A55" s="29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SUM(OSRRefD22_10x_0)</f>
        <v>3733.86</v>
      </c>
      <c r="E55" s="1"/>
      <c r="F55" s="5">
        <f t="shared" ref="F55:F57" si="46">IF(D$12=0,0,D55/D$12)</f>
        <v>5.6701463799981817E-2</v>
      </c>
      <c r="G55" s="1"/>
      <c r="H55" s="1">
        <f>SUM(OSRRefH22_10x_0)</f>
        <v>0</v>
      </c>
      <c r="I55" s="1"/>
      <c r="J55" s="5">
        <f t="shared" ref="J55:J57" si="47">IF(H$12=0,0,H55/H$12)</f>
        <v>0</v>
      </c>
      <c r="K55" s="1"/>
      <c r="L55" s="1">
        <f t="shared" ref="L55:L57" si="48">+D55-H55</f>
        <v>3733.86</v>
      </c>
      <c r="M55" s="1"/>
      <c r="N55" s="5">
        <f t="shared" ref="N55:N57" si="49">IF(H55=0,0,L55/H55)</f>
        <v>0</v>
      </c>
      <c r="O55" s="14"/>
      <c r="P55" s="1">
        <f>SUM(OSRRefP22_10x_0)</f>
        <v>3733.86</v>
      </c>
      <c r="Q55" s="1"/>
      <c r="R55" s="5">
        <f t="shared" ref="R55:R57" si="50">IF(P$12=0,0,P55/P$12)</f>
        <v>4.5975593358580223E-2</v>
      </c>
      <c r="S55" s="1"/>
      <c r="T55" s="1">
        <f>SUM(OSRRefT22_10x_0)</f>
        <v>0</v>
      </c>
      <c r="U55" s="1"/>
      <c r="V55" s="5">
        <f t="shared" ref="V55:V57" si="51">IF(T$12=0,0,T55/T$12)</f>
        <v>0</v>
      </c>
      <c r="W55" s="1"/>
      <c r="X55" s="1">
        <f t="shared" ref="X55:X57" si="52">+P55-T55</f>
        <v>3733.86</v>
      </c>
      <c r="Y55" s="1"/>
      <c r="Z55" s="5">
        <f t="shared" ref="Z55:Z57" si="53">IF(T55=0,0,X55/T55)</f>
        <v>0</v>
      </c>
    </row>
    <row r="56" spans="1:26" s="24" customFormat="1" hidden="1" outlineLevel="2" x14ac:dyDescent="0.25">
      <c r="A56" s="28"/>
      <c r="B56" s="11" t="str">
        <f>CONCATENATE("          ", "6285", " - ", "JANITORIAL SERVICES")</f>
        <v xml:space="preserve">          6285 - JANITORIAL SERVICES</v>
      </c>
      <c r="C56" s="11"/>
      <c r="D56" s="7">
        <v>3660</v>
      </c>
      <c r="E56" s="2"/>
      <c r="F56" s="6">
        <f t="shared" si="46"/>
        <v>5.5579844318730066E-2</v>
      </c>
      <c r="G56" s="2"/>
      <c r="H56" s="7"/>
      <c r="I56" s="2"/>
      <c r="J56" s="6">
        <f t="shared" si="47"/>
        <v>0</v>
      </c>
      <c r="K56" s="2"/>
      <c r="L56" s="7">
        <f t="shared" si="48"/>
        <v>3660</v>
      </c>
      <c r="M56" s="2"/>
      <c r="N56" s="6">
        <f t="shared" si="49"/>
        <v>0</v>
      </c>
      <c r="O56" s="11"/>
      <c r="P56" s="7">
        <v>3660</v>
      </c>
      <c r="Q56" s="2"/>
      <c r="R56" s="6">
        <f t="shared" si="50"/>
        <v>4.5066143800893341E-2</v>
      </c>
      <c r="S56" s="2"/>
      <c r="T56" s="7"/>
      <c r="U56" s="2"/>
      <c r="V56" s="6">
        <f t="shared" si="51"/>
        <v>0</v>
      </c>
      <c r="W56" s="2"/>
      <c r="X56" s="7">
        <f t="shared" si="52"/>
        <v>3660</v>
      </c>
      <c r="Y56" s="2"/>
      <c r="Z56" s="6">
        <f t="shared" si="53"/>
        <v>0</v>
      </c>
    </row>
    <row r="57" spans="1:26" s="24" customFormat="1" hidden="1" outlineLevel="2" x14ac:dyDescent="0.25">
      <c r="A57" s="28"/>
      <c r="B57" s="11" t="str">
        <f>CONCATENATE("          ", "6286", " - ", "LAUNDRY EXPENSE")</f>
        <v xml:space="preserve">          6286 - LAUNDRY EXPENSE</v>
      </c>
      <c r="C57" s="11"/>
      <c r="D57" s="7">
        <v>73.86</v>
      </c>
      <c r="E57" s="2"/>
      <c r="F57" s="6">
        <f t="shared" si="46"/>
        <v>1.1216194812517493E-3</v>
      </c>
      <c r="G57" s="2"/>
      <c r="H57" s="7"/>
      <c r="I57" s="2"/>
      <c r="J57" s="6">
        <f t="shared" si="47"/>
        <v>0</v>
      </c>
      <c r="K57" s="2"/>
      <c r="L57" s="7">
        <f t="shared" si="48"/>
        <v>73.86</v>
      </c>
      <c r="M57" s="2"/>
      <c r="N57" s="6">
        <f t="shared" si="49"/>
        <v>0</v>
      </c>
      <c r="O57" s="11"/>
      <c r="P57" s="7">
        <v>73.86</v>
      </c>
      <c r="Q57" s="2"/>
      <c r="R57" s="6">
        <f t="shared" si="50"/>
        <v>9.094495576868804E-4</v>
      </c>
      <c r="S57" s="2"/>
      <c r="T57" s="7"/>
      <c r="U57" s="2"/>
      <c r="V57" s="6">
        <f t="shared" si="51"/>
        <v>0</v>
      </c>
      <c r="W57" s="2"/>
      <c r="X57" s="7">
        <f t="shared" si="52"/>
        <v>73.86</v>
      </c>
      <c r="Y57" s="2"/>
      <c r="Z57" s="6">
        <f t="shared" si="53"/>
        <v>0</v>
      </c>
    </row>
    <row r="58" spans="1:26" s="27" customFormat="1" outlineLevel="1" collapsed="1" x14ac:dyDescent="0.25">
      <c r="A58" s="29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SUM(OSRRefD22_11x_0)</f>
        <v>711.2</v>
      </c>
      <c r="E58" s="1"/>
      <c r="F58" s="5">
        <f t="shared" ref="F58:F64" si="54">IF(D$12=0,0,D58/D$12)</f>
        <v>1.0800105267617712E-2</v>
      </c>
      <c r="G58" s="1"/>
      <c r="H58" s="1">
        <f>SUM(OSRRefH22_11x_0)</f>
        <v>0</v>
      </c>
      <c r="I58" s="1"/>
      <c r="J58" s="5">
        <f t="shared" ref="J58:J64" si="55">IF(H$12=0,0,H58/H$12)</f>
        <v>0</v>
      </c>
      <c r="K58" s="1"/>
      <c r="L58" s="1">
        <f t="shared" ref="L58:L64" si="56">+D58-H58</f>
        <v>711.2</v>
      </c>
      <c r="M58" s="1"/>
      <c r="N58" s="5">
        <f t="shared" ref="N58:N64" si="57">IF(H58=0,0,L58/H58)</f>
        <v>0</v>
      </c>
      <c r="O58" s="14"/>
      <c r="P58" s="1">
        <f>SUM(OSRRefP22_11x_0)</f>
        <v>1639.72</v>
      </c>
      <c r="Q58" s="1"/>
      <c r="R58" s="5">
        <f t="shared" ref="R58:R64" si="58">IF(P$12=0,0,P58/P$12)</f>
        <v>2.0190124948961975E-2</v>
      </c>
      <c r="S58" s="1"/>
      <c r="T58" s="1">
        <f>SUM(OSRRefT22_11x_0)</f>
        <v>0</v>
      </c>
      <c r="U58" s="1"/>
      <c r="V58" s="5">
        <f t="shared" ref="V58:V64" si="59">IF(T$12=0,0,T58/T$12)</f>
        <v>0</v>
      </c>
      <c r="W58" s="1"/>
      <c r="X58" s="1">
        <f t="shared" ref="X58:X64" si="60">+P58-T58</f>
        <v>1639.72</v>
      </c>
      <c r="Y58" s="1"/>
      <c r="Z58" s="5">
        <f t="shared" ref="Z58:Z64" si="61">IF(T58=0,0,X58/T58)</f>
        <v>0</v>
      </c>
    </row>
    <row r="59" spans="1:26" s="24" customFormat="1" hidden="1" outlineLevel="2" x14ac:dyDescent="0.25">
      <c r="A59" s="28"/>
      <c r="B59" s="11" t="str">
        <f>CONCATENATE("          ", "6235", " - ", "COVID-19 EXPENSES")</f>
        <v xml:space="preserve">          6235 - COVID-19 EXPENSES</v>
      </c>
      <c r="C59" s="11"/>
      <c r="D59" s="7">
        <v>193.5</v>
      </c>
      <c r="E59" s="2"/>
      <c r="F59" s="6">
        <f t="shared" si="54"/>
        <v>2.9384425889820405E-3</v>
      </c>
      <c r="G59" s="2"/>
      <c r="H59" s="7"/>
      <c r="I59" s="2"/>
      <c r="J59" s="6">
        <f t="shared" si="55"/>
        <v>0</v>
      </c>
      <c r="K59" s="2"/>
      <c r="L59" s="7">
        <f t="shared" si="56"/>
        <v>193.5</v>
      </c>
      <c r="M59" s="2"/>
      <c r="N59" s="6">
        <f t="shared" si="57"/>
        <v>0</v>
      </c>
      <c r="O59" s="11"/>
      <c r="P59" s="7">
        <v>193.5</v>
      </c>
      <c r="Q59" s="2"/>
      <c r="R59" s="6">
        <f t="shared" si="58"/>
        <v>2.3825953075062461E-3</v>
      </c>
      <c r="S59" s="2"/>
      <c r="T59" s="7"/>
      <c r="U59" s="2"/>
      <c r="V59" s="6">
        <f t="shared" si="59"/>
        <v>0</v>
      </c>
      <c r="W59" s="2"/>
      <c r="X59" s="7">
        <f t="shared" si="60"/>
        <v>193.5</v>
      </c>
      <c r="Y59" s="2"/>
      <c r="Z59" s="6">
        <f t="shared" si="61"/>
        <v>0</v>
      </c>
    </row>
    <row r="60" spans="1:26" s="24" customFormat="1" hidden="1" outlineLevel="2" x14ac:dyDescent="0.25">
      <c r="A60" s="28"/>
      <c r="B60" s="11" t="str">
        <f>CONCATENATE("          ", "6237", " - ", "JANITORIAL SUPPLIES")</f>
        <v xml:space="preserve">          6237 - JANITORIAL SUPPLIES</v>
      </c>
      <c r="C60" s="11"/>
      <c r="D60" s="7"/>
      <c r="E60" s="2"/>
      <c r="F60" s="6">
        <f t="shared" si="54"/>
        <v>0</v>
      </c>
      <c r="G60" s="2"/>
      <c r="H60" s="7"/>
      <c r="I60" s="2"/>
      <c r="J60" s="6">
        <f t="shared" si="55"/>
        <v>0</v>
      </c>
      <c r="K60" s="2"/>
      <c r="L60" s="7">
        <f t="shared" si="56"/>
        <v>0</v>
      </c>
      <c r="M60" s="2"/>
      <c r="N60" s="6">
        <f t="shared" si="57"/>
        <v>0</v>
      </c>
      <c r="O60" s="11"/>
      <c r="P60" s="7">
        <v>48.12</v>
      </c>
      <c r="Q60" s="2"/>
      <c r="R60" s="6">
        <f t="shared" si="58"/>
        <v>5.9250897259535175E-4</v>
      </c>
      <c r="S60" s="2"/>
      <c r="T60" s="7"/>
      <c r="U60" s="2"/>
      <c r="V60" s="6">
        <f t="shared" si="59"/>
        <v>0</v>
      </c>
      <c r="W60" s="2"/>
      <c r="X60" s="7">
        <f t="shared" si="60"/>
        <v>48.12</v>
      </c>
      <c r="Y60" s="2"/>
      <c r="Z60" s="6">
        <f t="shared" si="61"/>
        <v>0</v>
      </c>
    </row>
    <row r="61" spans="1:26" s="24" customFormat="1" hidden="1" outlineLevel="2" x14ac:dyDescent="0.25">
      <c r="A61" s="28"/>
      <c r="B61" s="11" t="str">
        <f>CONCATENATE("          ", "6239", " - ", "KITCHEN SUPPLIES")</f>
        <v xml:space="preserve">          6239 - KITCHEN SUPPLIES</v>
      </c>
      <c r="C61" s="11"/>
      <c r="D61" s="7">
        <v>83.36</v>
      </c>
      <c r="E61" s="2"/>
      <c r="F61" s="6">
        <f t="shared" si="54"/>
        <v>1.2658841044834257E-3</v>
      </c>
      <c r="G61" s="2"/>
      <c r="H61" s="7"/>
      <c r="I61" s="2"/>
      <c r="J61" s="6">
        <f t="shared" si="55"/>
        <v>0</v>
      </c>
      <c r="K61" s="2"/>
      <c r="L61" s="7">
        <f t="shared" si="56"/>
        <v>83.36</v>
      </c>
      <c r="M61" s="2"/>
      <c r="N61" s="6">
        <f t="shared" si="57"/>
        <v>0</v>
      </c>
      <c r="O61" s="11"/>
      <c r="P61" s="7">
        <v>83.36</v>
      </c>
      <c r="Q61" s="2"/>
      <c r="R61" s="6">
        <f t="shared" si="58"/>
        <v>1.0264245211044998E-3</v>
      </c>
      <c r="S61" s="2"/>
      <c r="T61" s="7"/>
      <c r="U61" s="2"/>
      <c r="V61" s="6">
        <f t="shared" si="59"/>
        <v>0</v>
      </c>
      <c r="W61" s="2"/>
      <c r="X61" s="7">
        <f t="shared" si="60"/>
        <v>83.36</v>
      </c>
      <c r="Y61" s="2"/>
      <c r="Z61" s="6">
        <f t="shared" si="61"/>
        <v>0</v>
      </c>
    </row>
    <row r="62" spans="1:26" s="24" customFormat="1" hidden="1" outlineLevel="2" x14ac:dyDescent="0.25">
      <c r="A62" s="28"/>
      <c r="B62" s="11" t="str">
        <f>CONCATENATE("          ", "6241", " - ", "OFFICE EXPENSE")</f>
        <v xml:space="preserve">          6241 - OFFICE EXPENSE</v>
      </c>
      <c r="C62" s="11"/>
      <c r="D62" s="7">
        <v>169.8</v>
      </c>
      <c r="E62" s="2"/>
      <c r="F62" s="6">
        <f t="shared" si="54"/>
        <v>2.5785403183935427E-3</v>
      </c>
      <c r="G62" s="2"/>
      <c r="H62" s="7"/>
      <c r="I62" s="2"/>
      <c r="J62" s="6">
        <f t="shared" si="55"/>
        <v>0</v>
      </c>
      <c r="K62" s="2"/>
      <c r="L62" s="7">
        <f t="shared" si="56"/>
        <v>169.8</v>
      </c>
      <c r="M62" s="2"/>
      <c r="N62" s="6">
        <f t="shared" si="57"/>
        <v>0</v>
      </c>
      <c r="O62" s="11"/>
      <c r="P62" s="7">
        <v>850.2</v>
      </c>
      <c r="Q62" s="2"/>
      <c r="R62" s="6">
        <f t="shared" si="58"/>
        <v>1.0468643568174733E-2</v>
      </c>
      <c r="S62" s="2"/>
      <c r="T62" s="7"/>
      <c r="U62" s="2"/>
      <c r="V62" s="6">
        <f t="shared" si="59"/>
        <v>0</v>
      </c>
      <c r="W62" s="2"/>
      <c r="X62" s="7">
        <f t="shared" si="60"/>
        <v>850.2</v>
      </c>
      <c r="Y62" s="2"/>
      <c r="Z62" s="6">
        <f t="shared" si="61"/>
        <v>0</v>
      </c>
    </row>
    <row r="63" spans="1:26" s="24" customFormat="1" hidden="1" outlineLevel="2" x14ac:dyDescent="0.25">
      <c r="A63" s="28"/>
      <c r="B63" s="11" t="str">
        <f>CONCATENATE("          ", "6243", " - ", "PAPER SUPPLIES")</f>
        <v xml:space="preserve">          6243 - PAPER SUPPLIES</v>
      </c>
      <c r="C63" s="11"/>
      <c r="D63" s="7">
        <v>50.56</v>
      </c>
      <c r="E63" s="2"/>
      <c r="F63" s="6">
        <f t="shared" si="54"/>
        <v>7.6779151058879573E-4</v>
      </c>
      <c r="G63" s="2"/>
      <c r="H63" s="7"/>
      <c r="I63" s="2"/>
      <c r="J63" s="6">
        <f t="shared" si="55"/>
        <v>0</v>
      </c>
      <c r="K63" s="2"/>
      <c r="L63" s="7">
        <f t="shared" si="56"/>
        <v>50.56</v>
      </c>
      <c r="M63" s="2"/>
      <c r="N63" s="6">
        <f t="shared" si="57"/>
        <v>0</v>
      </c>
      <c r="O63" s="11"/>
      <c r="P63" s="7">
        <v>50.56</v>
      </c>
      <c r="Q63" s="2"/>
      <c r="R63" s="6">
        <f t="shared" si="58"/>
        <v>6.2255306846261402E-4</v>
      </c>
      <c r="S63" s="2"/>
      <c r="T63" s="7"/>
      <c r="U63" s="2"/>
      <c r="V63" s="6">
        <f t="shared" si="59"/>
        <v>0</v>
      </c>
      <c r="W63" s="2"/>
      <c r="X63" s="7">
        <f t="shared" si="60"/>
        <v>50.56</v>
      </c>
      <c r="Y63" s="2"/>
      <c r="Z63" s="6">
        <f t="shared" si="61"/>
        <v>0</v>
      </c>
    </row>
    <row r="64" spans="1:26" s="24" customFormat="1" hidden="1" outlineLevel="2" x14ac:dyDescent="0.25">
      <c r="A64" s="28"/>
      <c r="B64" s="11" t="str">
        <f>CONCATENATE("          ", "6247", " - ", "STORE SUPPLIES")</f>
        <v xml:space="preserve">          6247 - STORE SUPPLIES</v>
      </c>
      <c r="C64" s="11"/>
      <c r="D64" s="7">
        <v>213.98</v>
      </c>
      <c r="E64" s="2"/>
      <c r="F64" s="6">
        <f t="shared" si="54"/>
        <v>3.2494467451699067E-3</v>
      </c>
      <c r="G64" s="2"/>
      <c r="H64" s="7"/>
      <c r="I64" s="2"/>
      <c r="J64" s="6">
        <f t="shared" si="55"/>
        <v>0</v>
      </c>
      <c r="K64" s="2"/>
      <c r="L64" s="7">
        <f t="shared" si="56"/>
        <v>213.98</v>
      </c>
      <c r="M64" s="2"/>
      <c r="N64" s="6">
        <f t="shared" si="57"/>
        <v>0</v>
      </c>
      <c r="O64" s="11"/>
      <c r="P64" s="7">
        <v>413.98</v>
      </c>
      <c r="Q64" s="2"/>
      <c r="R64" s="6">
        <f t="shared" si="58"/>
        <v>5.0973995111185319E-3</v>
      </c>
      <c r="S64" s="2"/>
      <c r="T64" s="7"/>
      <c r="U64" s="2"/>
      <c r="V64" s="6">
        <f t="shared" si="59"/>
        <v>0</v>
      </c>
      <c r="W64" s="2"/>
      <c r="X64" s="7">
        <f t="shared" si="60"/>
        <v>413.98</v>
      </c>
      <c r="Y64" s="2"/>
      <c r="Z64" s="6">
        <f t="shared" si="61"/>
        <v>0</v>
      </c>
    </row>
    <row r="65" spans="1:26" s="27" customFormat="1" outlineLevel="1" collapsed="1" x14ac:dyDescent="0.25">
      <c r="A65" s="29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SUM(OSRRefD22_12x_0)</f>
        <v>75</v>
      </c>
      <c r="E65" s="1"/>
      <c r="F65" s="5">
        <f t="shared" ref="F65:F68" si="62">IF(D$12=0,0,D65/D$12)</f>
        <v>1.1389312360395505E-3</v>
      </c>
      <c r="G65" s="1"/>
      <c r="H65" s="1">
        <f>SUM(OSRRefH22_12x_0)</f>
        <v>0</v>
      </c>
      <c r="I65" s="1"/>
      <c r="J65" s="5">
        <f t="shared" ref="J65:J68" si="63">IF(H$12=0,0,H65/H$12)</f>
        <v>0</v>
      </c>
      <c r="K65" s="1"/>
      <c r="L65" s="1">
        <f t="shared" ref="L65:L68" si="64">+D65-H65</f>
        <v>75</v>
      </c>
      <c r="M65" s="1"/>
      <c r="N65" s="5">
        <f t="shared" ref="N65:N68" si="65">IF(H65=0,0,L65/H65)</f>
        <v>0</v>
      </c>
      <c r="O65" s="14"/>
      <c r="P65" s="1">
        <f>SUM(OSRRefP22_12x_0)</f>
        <v>375</v>
      </c>
      <c r="Q65" s="1"/>
      <c r="R65" s="5">
        <f t="shared" ref="R65:R68" si="66">IF(P$12=0,0,P65/P$12)</f>
        <v>4.617432766484973E-3</v>
      </c>
      <c r="S65" s="1"/>
      <c r="T65" s="1">
        <f>SUM(OSRRefT22_12x_0)</f>
        <v>69</v>
      </c>
      <c r="U65" s="1"/>
      <c r="V65" s="5">
        <f t="shared" ref="V65:V68" si="67">IF(T$12=0,0,T65/T$12)</f>
        <v>0</v>
      </c>
      <c r="W65" s="1"/>
      <c r="X65" s="1">
        <f t="shared" ref="X65:X68" si="68">+P65-T65</f>
        <v>306</v>
      </c>
      <c r="Y65" s="1"/>
      <c r="Z65" s="5">
        <f t="shared" ref="Z65:Z68" si="69">IF(T65=0,0,X65/T65)</f>
        <v>4.4347826086956523</v>
      </c>
    </row>
    <row r="66" spans="1:26" s="24" customFormat="1" hidden="1" outlineLevel="2" x14ac:dyDescent="0.25">
      <c r="A66" s="28"/>
      <c r="B66" s="11" t="str">
        <f>CONCATENATE("          ", "6309", " - ", "TELEPHONE")</f>
        <v xml:space="preserve">          6309 - TELEPHONE</v>
      </c>
      <c r="C66" s="11"/>
      <c r="D66" s="7">
        <v>75</v>
      </c>
      <c r="E66" s="2"/>
      <c r="F66" s="6">
        <f t="shared" si="62"/>
        <v>1.1389312360395505E-3</v>
      </c>
      <c r="G66" s="2"/>
      <c r="H66" s="7"/>
      <c r="I66" s="2"/>
      <c r="J66" s="6">
        <f t="shared" si="63"/>
        <v>0</v>
      </c>
      <c r="K66" s="2"/>
      <c r="L66" s="7">
        <f t="shared" si="64"/>
        <v>75</v>
      </c>
      <c r="M66" s="2"/>
      <c r="N66" s="6">
        <f t="shared" si="65"/>
        <v>0</v>
      </c>
      <c r="O66" s="11"/>
      <c r="P66" s="7">
        <v>375</v>
      </c>
      <c r="Q66" s="2"/>
      <c r="R66" s="6">
        <f t="shared" si="66"/>
        <v>4.617432766484973E-3</v>
      </c>
      <c r="S66" s="2"/>
      <c r="T66" s="7">
        <v>69</v>
      </c>
      <c r="U66" s="2"/>
      <c r="V66" s="6">
        <f t="shared" si="67"/>
        <v>0</v>
      </c>
      <c r="W66" s="2"/>
      <c r="X66" s="7">
        <f t="shared" si="68"/>
        <v>306</v>
      </c>
      <c r="Y66" s="2"/>
      <c r="Z66" s="6">
        <f t="shared" si="69"/>
        <v>4.4347826086956523</v>
      </c>
    </row>
    <row r="67" spans="1:26" s="27" customFormat="1" outlineLevel="1" collapsed="1" x14ac:dyDescent="0.25">
      <c r="A67" s="29"/>
      <c r="B67" s="14" t="str">
        <f>CONCATENATE("     ","Utilities                                         ")</f>
        <v xml:space="preserve">     Utilities                                         </v>
      </c>
      <c r="C67" s="14"/>
      <c r="D67" s="1">
        <f>SUM(OSRRefD22_13x_0)</f>
        <v>200</v>
      </c>
      <c r="E67" s="1"/>
      <c r="F67" s="5">
        <f t="shared" si="62"/>
        <v>3.0371499627721349E-3</v>
      </c>
      <c r="G67" s="1"/>
      <c r="H67" s="1">
        <f>SUM(OSRRefH22_13x_0)</f>
        <v>0</v>
      </c>
      <c r="I67" s="1"/>
      <c r="J67" s="5">
        <f t="shared" si="63"/>
        <v>0</v>
      </c>
      <c r="K67" s="1"/>
      <c r="L67" s="1">
        <f t="shared" si="64"/>
        <v>200</v>
      </c>
      <c r="M67" s="1"/>
      <c r="N67" s="5">
        <f t="shared" si="65"/>
        <v>0</v>
      </c>
      <c r="O67" s="14"/>
      <c r="P67" s="1">
        <f>SUM(OSRRefP22_13x_0)</f>
        <v>600</v>
      </c>
      <c r="Q67" s="1"/>
      <c r="R67" s="5">
        <f t="shared" si="66"/>
        <v>7.3878924263759572E-3</v>
      </c>
      <c r="S67" s="1"/>
      <c r="T67" s="1">
        <f>SUM(OSRRefT22_13x_0)</f>
        <v>0</v>
      </c>
      <c r="U67" s="1"/>
      <c r="V67" s="5">
        <f t="shared" si="67"/>
        <v>0</v>
      </c>
      <c r="W67" s="1"/>
      <c r="X67" s="1">
        <f t="shared" si="68"/>
        <v>600</v>
      </c>
      <c r="Y67" s="1"/>
      <c r="Z67" s="5">
        <f t="shared" si="69"/>
        <v>0</v>
      </c>
    </row>
    <row r="68" spans="1:26" s="24" customFormat="1" hidden="1" outlineLevel="2" x14ac:dyDescent="0.25">
      <c r="A68" s="28"/>
      <c r="B68" s="11" t="str">
        <f>CONCATENATE("          ", "6274", " - ", "UTILITIES")</f>
        <v xml:space="preserve">          6274 - UTILITIES</v>
      </c>
      <c r="C68" s="11"/>
      <c r="D68" s="7">
        <v>200</v>
      </c>
      <c r="E68" s="2"/>
      <c r="F68" s="6">
        <f t="shared" si="62"/>
        <v>3.0371499627721349E-3</v>
      </c>
      <c r="G68" s="2"/>
      <c r="H68" s="7"/>
      <c r="I68" s="2"/>
      <c r="J68" s="6">
        <f t="shared" si="63"/>
        <v>0</v>
      </c>
      <c r="K68" s="2"/>
      <c r="L68" s="7">
        <f t="shared" si="64"/>
        <v>200</v>
      </c>
      <c r="M68" s="2"/>
      <c r="N68" s="6">
        <f t="shared" si="65"/>
        <v>0</v>
      </c>
      <c r="O68" s="11"/>
      <c r="P68" s="7">
        <v>600</v>
      </c>
      <c r="Q68" s="2"/>
      <c r="R68" s="6">
        <f t="shared" si="66"/>
        <v>7.3878924263759572E-3</v>
      </c>
      <c r="S68" s="2"/>
      <c r="T68" s="7"/>
      <c r="U68" s="2"/>
      <c r="V68" s="6">
        <f t="shared" si="67"/>
        <v>0</v>
      </c>
      <c r="W68" s="2"/>
      <c r="X68" s="7">
        <f t="shared" si="68"/>
        <v>600</v>
      </c>
      <c r="Y68" s="2"/>
      <c r="Z68" s="6">
        <f t="shared" si="69"/>
        <v>0</v>
      </c>
    </row>
    <row r="69" spans="1:26" s="54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6" t="s">
        <v>292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5" t="s">
        <v>276</v>
      </c>
      <c r="C72" s="25"/>
      <c r="D72" s="21">
        <f>+D20-D22+D70</f>
        <v>3841.8999999999869</v>
      </c>
      <c r="E72" s="13"/>
      <c r="F72" s="22">
        <f>IF(D$12=0,0,D72/D$12)</f>
        <v>5.8342132209871125E-2</v>
      </c>
      <c r="G72" s="13"/>
      <c r="H72" s="21">
        <f>+H20-H22+H70</f>
        <v>-11248.7</v>
      </c>
      <c r="I72" s="13"/>
      <c r="J72" s="22">
        <f>IF(H$12=0,0,H72/H$12)</f>
        <v>0</v>
      </c>
      <c r="K72" s="16"/>
      <c r="L72" s="21">
        <f>+D72-H72</f>
        <v>15090.599999999988</v>
      </c>
      <c r="M72" s="16"/>
      <c r="N72" s="22">
        <f>IF(H72=0,0,L72/H72)</f>
        <v>-1.341541689261869</v>
      </c>
      <c r="O72" s="26"/>
      <c r="P72" s="21">
        <f>+P20-P22+P70</f>
        <v>-29119.049999999967</v>
      </c>
      <c r="Q72" s="13"/>
      <c r="R72" s="22">
        <f>IF(P$12=0,0,P72/P$12)</f>
        <v>-0.35854734826377094</v>
      </c>
      <c r="S72" s="13"/>
      <c r="T72" s="21">
        <f>+T20-T22+T70</f>
        <v>-22398.399999999998</v>
      </c>
      <c r="U72" s="13"/>
      <c r="V72" s="22">
        <f>IF(T$12=0,0,T72/T$12)</f>
        <v>0</v>
      </c>
      <c r="W72" s="16"/>
      <c r="X72" s="21">
        <f>+P72-T72</f>
        <v>-6720.6499999999687</v>
      </c>
      <c r="Y72" s="16"/>
      <c r="Z72" s="22">
        <f>IF(T72=0,0,X72/T72)</f>
        <v>0.30005045003214381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127</v>
      </c>
      <c r="C74" s="10"/>
      <c r="D74" s="4">
        <v>7756.61</v>
      </c>
      <c r="E74" s="4"/>
      <c r="F74" s="12">
        <f>IF(D$12=0,0,D74/D$12)</f>
        <v>0.11778993886368984</v>
      </c>
      <c r="G74" s="4"/>
      <c r="H74" s="4"/>
      <c r="I74" s="4"/>
      <c r="J74" s="12">
        <f>IF(H$12=0,0,H74/H$12)</f>
        <v>0</v>
      </c>
      <c r="K74" s="4"/>
      <c r="L74" s="4">
        <f>+D74-H74</f>
        <v>7756.61</v>
      </c>
      <c r="M74" s="4"/>
      <c r="N74" s="12">
        <f>IF(H74=0,0,L74/H74)</f>
        <v>0</v>
      </c>
      <c r="O74" s="10"/>
      <c r="P74" s="4">
        <v>10052.31</v>
      </c>
      <c r="Q74" s="4"/>
      <c r="R74" s="12">
        <f>IF(P$12=0,0,P74/P$12)</f>
        <v>0.12377564152763883</v>
      </c>
      <c r="S74" s="4"/>
      <c r="T74" s="4"/>
      <c r="U74" s="4"/>
      <c r="V74" s="12">
        <f>IF(T$12=0,0,T74/T$12)</f>
        <v>0</v>
      </c>
      <c r="W74" s="4"/>
      <c r="X74" s="4">
        <f>+P74-T74</f>
        <v>10052.31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5" t="s">
        <v>125</v>
      </c>
      <c r="C76" s="25"/>
      <c r="D76" s="33">
        <f>+D72-D74</f>
        <v>-3914.7100000000128</v>
      </c>
      <c r="E76" s="13"/>
      <c r="F76" s="35">
        <f>IF(D$12=0,0,D76/D$12)</f>
        <v>-5.9447806653818713E-2</v>
      </c>
      <c r="G76" s="13"/>
      <c r="H76" s="33">
        <f>+H72-H74</f>
        <v>-11248.7</v>
      </c>
      <c r="I76" s="13"/>
      <c r="J76" s="35">
        <f>IF(H$12=0,0,H76/H$12)</f>
        <v>0</v>
      </c>
      <c r="K76" s="16"/>
      <c r="L76" s="33">
        <f>D76-H76</f>
        <v>7333.989999999988</v>
      </c>
      <c r="M76" s="16"/>
      <c r="N76" s="35">
        <f>IF(H76=0,0,L76/H76)</f>
        <v>-0.65198556277614195</v>
      </c>
      <c r="O76" s="26"/>
      <c r="P76" s="33">
        <f>+P72-P74</f>
        <v>-39171.359999999964</v>
      </c>
      <c r="Q76" s="13"/>
      <c r="R76" s="35">
        <f>IF(P$12=0,0,P76/P$12)</f>
        <v>-0.48232298979140975</v>
      </c>
      <c r="S76" s="13"/>
      <c r="T76" s="33">
        <f>+T72-T74</f>
        <v>-22398.399999999998</v>
      </c>
      <c r="U76" s="13"/>
      <c r="V76" s="35">
        <f>IF(T$12=0,0,T76/T$12)</f>
        <v>0</v>
      </c>
      <c r="W76" s="16"/>
      <c r="X76" s="33">
        <f>P76-T76</f>
        <v>-16772.959999999966</v>
      </c>
      <c r="Y76" s="16"/>
      <c r="Z76" s="35">
        <f>IF(T76=0,0,X76/T76)</f>
        <v>0.74884634616758194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5" t="s">
        <v>293</v>
      </c>
      <c r="C79" s="25"/>
      <c r="D79" s="31">
        <f>SUM(D76:D78)</f>
        <v>-3914.7100000000128</v>
      </c>
      <c r="E79" s="13"/>
      <c r="F79" s="32">
        <f>IF(D$12=0,0,D79/D$12)</f>
        <v>-5.9447806653818713E-2</v>
      </c>
      <c r="G79" s="13"/>
      <c r="H79" s="31">
        <f>SUM(H76:H78)</f>
        <v>-11248.7</v>
      </c>
      <c r="I79" s="13"/>
      <c r="J79" s="32">
        <f>IF(H$12=0,0,H79/H$12)</f>
        <v>0</v>
      </c>
      <c r="K79" s="16"/>
      <c r="L79" s="31">
        <f>+D79-H79</f>
        <v>7333.989999999988</v>
      </c>
      <c r="M79" s="16"/>
      <c r="N79" s="32">
        <f>IF(H79=0,0,L79/H79)</f>
        <v>-0.65198556277614195</v>
      </c>
      <c r="O79" s="26"/>
      <c r="P79" s="31">
        <f>SUM(P76:P78)</f>
        <v>-39171.359999999964</v>
      </c>
      <c r="Q79" s="13"/>
      <c r="R79" s="32">
        <f>IF(P$12=0,0,P79/P$12)</f>
        <v>-0.48232298979140975</v>
      </c>
      <c r="S79" s="13"/>
      <c r="T79" s="31">
        <f>SUM(T76:T78)</f>
        <v>-22398.399999999998</v>
      </c>
      <c r="U79" s="13"/>
      <c r="V79" s="32">
        <f>IF(T$12=0,0,T79/T$12)</f>
        <v>0</v>
      </c>
      <c r="W79" s="16"/>
      <c r="X79" s="31">
        <f>+P79-T79</f>
        <v>-16772.959999999966</v>
      </c>
      <c r="Y79" s="16"/>
      <c r="Z79" s="32">
        <f>IF(T79=0,0,X79/T79)</f>
        <v>0.74884634616758194</v>
      </c>
    </row>
    <row r="80" spans="1:26" ht="15.75" thickTop="1" x14ac:dyDescent="0.25">
      <c r="A80" s="9"/>
      <c r="C80" s="9"/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8">
        <v>44481.985668518515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3" t="s">
        <v>56</v>
      </c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A83" s="9"/>
      <c r="B83" s="52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4" x14ac:dyDescent="0.25"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","406", " - ", "OPA! Greek")</f>
        <v>Department 406 - OPA! Greek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69.290000000000006</v>
      </c>
      <c r="E18" s="20"/>
      <c r="F18" s="30">
        <f t="shared" ref="F18:F28" si="0">IF(D$12=0,0,D18/D$12)</f>
        <v>0</v>
      </c>
      <c r="G18" s="20"/>
      <c r="H18" s="20">
        <f>SUM(OSRRefH22x_0)</f>
        <v>188.84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-119.55</v>
      </c>
      <c r="M18" s="4"/>
      <c r="N18" s="30">
        <f t="shared" ref="N18:N28" si="3">IF(H18=0,0,L18/H18)</f>
        <v>-0.63307561957212455</v>
      </c>
      <c r="O18" s="10"/>
      <c r="P18" s="20">
        <f>SUM(OSRRefP22x_0)</f>
        <v>69.290000000000006</v>
      </c>
      <c r="Q18" s="20"/>
      <c r="R18" s="30">
        <f t="shared" ref="R18:R28" si="4">IF(P$12=0,0,P18/P$12)</f>
        <v>0</v>
      </c>
      <c r="S18" s="20"/>
      <c r="T18" s="20">
        <f>SUM(OSRRefT22x_0)</f>
        <v>1303.3600000000001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-1234.0700000000002</v>
      </c>
      <c r="Y18" s="4"/>
      <c r="Z18" s="30">
        <f t="shared" ref="Z18:Z28" si="7">IF(T18=0,0,X18/T18)</f>
        <v>-0.94683740486128165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660.8</v>
      </c>
      <c r="U19" s="1"/>
      <c r="V19" s="5">
        <f t="shared" si="5"/>
        <v>0</v>
      </c>
      <c r="W19" s="1"/>
      <c r="X19" s="1">
        <f t="shared" si="6"/>
        <v>-660.8</v>
      </c>
      <c r="Y19" s="1"/>
      <c r="Z19" s="5">
        <f t="shared" si="7"/>
        <v>-1</v>
      </c>
    </row>
    <row r="20" spans="1:26" s="24" customFormat="1" hidden="1" outlineLevel="2" x14ac:dyDescent="0.25">
      <c r="A20" s="28"/>
      <c r="B20" s="11" t="str">
        <f>CONCATENATE("          ", "6113", " - ", "GROUP INSURANCE")</f>
        <v xml:space="preserve">          6113 - GROUP INSURANCE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/>
      <c r="Q20" s="2"/>
      <c r="R20" s="6">
        <f t="shared" si="4"/>
        <v>0</v>
      </c>
      <c r="S20" s="2"/>
      <c r="T20" s="7">
        <v>660.8</v>
      </c>
      <c r="U20" s="2"/>
      <c r="V20" s="6">
        <f t="shared" si="5"/>
        <v>0</v>
      </c>
      <c r="W20" s="2"/>
      <c r="X20" s="7">
        <f t="shared" si="6"/>
        <v>-660.8</v>
      </c>
      <c r="Y20" s="2"/>
      <c r="Z20" s="6">
        <f t="shared" si="7"/>
        <v>-1</v>
      </c>
    </row>
    <row r="21" spans="1:26" s="27" customFormat="1" outlineLevel="1" collapsed="1" x14ac:dyDescent="0.25">
      <c r="A21" s="29"/>
      <c r="B21" s="14" t="str">
        <f>CONCATENATE("     ","Depreciation                                      ")</f>
        <v xml:space="preserve">     Depreciation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119.55</v>
      </c>
      <c r="I21" s="1"/>
      <c r="J21" s="5">
        <f t="shared" si="1"/>
        <v>0</v>
      </c>
      <c r="K21" s="1"/>
      <c r="L21" s="1">
        <f t="shared" si="2"/>
        <v>-119.55</v>
      </c>
      <c r="M21" s="1"/>
      <c r="N21" s="5">
        <f t="shared" si="3"/>
        <v>-1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358.65</v>
      </c>
      <c r="U21" s="1"/>
      <c r="V21" s="5">
        <f t="shared" si="5"/>
        <v>0</v>
      </c>
      <c r="W21" s="1"/>
      <c r="X21" s="1">
        <f t="shared" si="6"/>
        <v>-358.65</v>
      </c>
      <c r="Y21" s="1"/>
      <c r="Z21" s="5">
        <f t="shared" si="7"/>
        <v>-1</v>
      </c>
    </row>
    <row r="22" spans="1:26" s="24" customFormat="1" hidden="1" outlineLevel="2" x14ac:dyDescent="0.25">
      <c r="A22" s="28"/>
      <c r="B22" s="11" t="str">
        <f>CONCATENATE("          ", "6322", " - ", "EQUIPMENT DEPRECIATION EXPENSE")</f>
        <v xml:space="preserve">          6322 - EQUIPMENT DEPRECIATION EXPENSE</v>
      </c>
      <c r="C22" s="11"/>
      <c r="D22" s="7"/>
      <c r="E22" s="2"/>
      <c r="F22" s="6">
        <f t="shared" si="0"/>
        <v>0</v>
      </c>
      <c r="G22" s="2"/>
      <c r="H22" s="7">
        <v>119.55</v>
      </c>
      <c r="I22" s="2"/>
      <c r="J22" s="6">
        <f t="shared" si="1"/>
        <v>0</v>
      </c>
      <c r="K22" s="2"/>
      <c r="L22" s="7">
        <f t="shared" si="2"/>
        <v>-119.55</v>
      </c>
      <c r="M22" s="2"/>
      <c r="N22" s="6">
        <f t="shared" si="3"/>
        <v>-1</v>
      </c>
      <c r="O22" s="11"/>
      <c r="P22" s="7"/>
      <c r="Q22" s="2"/>
      <c r="R22" s="6">
        <f t="shared" si="4"/>
        <v>0</v>
      </c>
      <c r="S22" s="2"/>
      <c r="T22" s="7">
        <v>358.65</v>
      </c>
      <c r="U22" s="2"/>
      <c r="V22" s="6">
        <f t="shared" si="5"/>
        <v>0</v>
      </c>
      <c r="W22" s="2"/>
      <c r="X22" s="7">
        <f t="shared" si="6"/>
        <v>-358.65</v>
      </c>
      <c r="Y22" s="2"/>
      <c r="Z22" s="6">
        <f t="shared" si="7"/>
        <v>-1</v>
      </c>
    </row>
    <row r="23" spans="1:26" s="27" customFormat="1" outlineLevel="1" collapsed="1" x14ac:dyDescent="0.25">
      <c r="A23" s="29"/>
      <c r="B23" s="14" t="str">
        <f>CONCATENATE("     ","Equipment Rental                                  ")</f>
        <v xml:space="preserve">     Equipment Rental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64.02</v>
      </c>
      <c r="U23" s="1"/>
      <c r="V23" s="5">
        <f t="shared" si="5"/>
        <v>0</v>
      </c>
      <c r="W23" s="1"/>
      <c r="X23" s="1">
        <f t="shared" si="6"/>
        <v>-64.02</v>
      </c>
      <c r="Y23" s="1"/>
      <c r="Z23" s="5">
        <f t="shared" si="7"/>
        <v>-1</v>
      </c>
    </row>
    <row r="24" spans="1:26" s="24" customFormat="1" hidden="1" outlineLevel="2" x14ac:dyDescent="0.25">
      <c r="A24" s="28"/>
      <c r="B24" s="11" t="str">
        <f>CONCATENATE("          ", "6351", " - ", "EQUIPMENT RENTAL")</f>
        <v xml:space="preserve">          6351 - EQUIPMENT RENTAL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64.02</v>
      </c>
      <c r="U24" s="2"/>
      <c r="V24" s="6">
        <f t="shared" si="5"/>
        <v>0</v>
      </c>
      <c r="W24" s="2"/>
      <c r="X24" s="7">
        <f t="shared" si="6"/>
        <v>-64.02</v>
      </c>
      <c r="Y24" s="2"/>
      <c r="Z24" s="6">
        <f t="shared" si="7"/>
        <v>-1</v>
      </c>
    </row>
    <row r="25" spans="1:26" s="27" customFormat="1" outlineLevel="1" collapsed="1" x14ac:dyDescent="0.25">
      <c r="A25" s="29"/>
      <c r="B25" s="14" t="str">
        <f>CONCATENATE("     ","Repair and Maintenance                            ")</f>
        <v xml:space="preserve">     Repair and Maintenance                            </v>
      </c>
      <c r="C25" s="14"/>
      <c r="D25" s="1">
        <f>SUM(OSRRefD22_3x_0)</f>
        <v>69.290000000000006</v>
      </c>
      <c r="E25" s="1"/>
      <c r="F25" s="5">
        <f t="shared" si="0"/>
        <v>0</v>
      </c>
      <c r="G25" s="1"/>
      <c r="H25" s="1">
        <f>SUM(OSRRefH22_3x_0)</f>
        <v>69.290000000000006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69.290000000000006</v>
      </c>
      <c r="Q25" s="1"/>
      <c r="R25" s="5">
        <f t="shared" si="4"/>
        <v>0</v>
      </c>
      <c r="S25" s="1"/>
      <c r="T25" s="1">
        <f>SUM(OSRRefT22_3x_0)</f>
        <v>147.88999999999999</v>
      </c>
      <c r="U25" s="1"/>
      <c r="V25" s="5">
        <f t="shared" si="5"/>
        <v>0</v>
      </c>
      <c r="W25" s="1"/>
      <c r="X25" s="1">
        <f t="shared" si="6"/>
        <v>-78.59999999999998</v>
      </c>
      <c r="Y25" s="1"/>
      <c r="Z25" s="5">
        <f t="shared" si="7"/>
        <v>-0.5314760970991953</v>
      </c>
    </row>
    <row r="26" spans="1:26" s="24" customFormat="1" hidden="1" outlineLevel="2" x14ac:dyDescent="0.25">
      <c r="A26" s="28"/>
      <c r="B26" s="11" t="str">
        <f>CONCATENATE("          ", "6373", " - ", "MAINTENANCE CONTRACTS")</f>
        <v xml:space="preserve">          6373 - MAINTENANCE CONTRACTS</v>
      </c>
      <c r="C26" s="11"/>
      <c r="D26" s="7">
        <v>69.290000000000006</v>
      </c>
      <c r="E26" s="2"/>
      <c r="F26" s="6">
        <f t="shared" si="0"/>
        <v>0</v>
      </c>
      <c r="G26" s="2"/>
      <c r="H26" s="7">
        <v>69.290000000000006</v>
      </c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69.290000000000006</v>
      </c>
      <c r="Q26" s="2"/>
      <c r="R26" s="6">
        <f t="shared" si="4"/>
        <v>0</v>
      </c>
      <c r="S26" s="2"/>
      <c r="T26" s="7">
        <v>147.88999999999999</v>
      </c>
      <c r="U26" s="2"/>
      <c r="V26" s="6">
        <f t="shared" si="5"/>
        <v>0</v>
      </c>
      <c r="W26" s="2"/>
      <c r="X26" s="7">
        <f t="shared" si="6"/>
        <v>-78.59999999999998</v>
      </c>
      <c r="Y26" s="2"/>
      <c r="Z26" s="6">
        <f t="shared" si="7"/>
        <v>-0.5314760970991953</v>
      </c>
    </row>
    <row r="27" spans="1:26" s="27" customFormat="1" outlineLevel="1" collapsed="1" x14ac:dyDescent="0.25">
      <c r="A27" s="29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4"/>
      <c r="P27" s="1">
        <f>SUM(OSRRefP22_4x_0)</f>
        <v>0</v>
      </c>
      <c r="Q27" s="1"/>
      <c r="R27" s="5">
        <f t="shared" si="4"/>
        <v>0</v>
      </c>
      <c r="S27" s="1"/>
      <c r="T27" s="1">
        <f>SUM(OSRRefT22_4x_0)</f>
        <v>72</v>
      </c>
      <c r="U27" s="1"/>
      <c r="V27" s="5">
        <f t="shared" si="5"/>
        <v>0</v>
      </c>
      <c r="W27" s="1"/>
      <c r="X27" s="1">
        <f t="shared" si="6"/>
        <v>-72</v>
      </c>
      <c r="Y27" s="1"/>
      <c r="Z27" s="5">
        <f t="shared" si="7"/>
        <v>-1</v>
      </c>
    </row>
    <row r="28" spans="1:26" s="24" customFormat="1" hidden="1" outlineLevel="2" x14ac:dyDescent="0.25">
      <c r="A28" s="28"/>
      <c r="B28" s="11" t="str">
        <f>CONCATENATE("          ", "6309", " - ", "TELEPHONE")</f>
        <v xml:space="preserve">          6309 - TELEPHONE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/>
      <c r="Q28" s="2"/>
      <c r="R28" s="6">
        <f t="shared" si="4"/>
        <v>0</v>
      </c>
      <c r="S28" s="2"/>
      <c r="T28" s="7">
        <v>72</v>
      </c>
      <c r="U28" s="2"/>
      <c r="V28" s="6">
        <f t="shared" si="5"/>
        <v>0</v>
      </c>
      <c r="W28" s="2"/>
      <c r="X28" s="7">
        <f t="shared" si="6"/>
        <v>-72</v>
      </c>
      <c r="Y28" s="2"/>
      <c r="Z28" s="6">
        <f t="shared" si="7"/>
        <v>-1</v>
      </c>
    </row>
    <row r="29" spans="1:26" s="54" customFormat="1" x14ac:dyDescent="0.25">
      <c r="A29" s="37"/>
      <c r="B29" s="37"/>
      <c r="C29" s="37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6" t="s">
        <v>292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5" t="s">
        <v>276</v>
      </c>
      <c r="C32" s="25"/>
      <c r="D32" s="21">
        <f>+D16-D18+D30</f>
        <v>-69.290000000000006</v>
      </c>
      <c r="E32" s="13"/>
      <c r="F32" s="22">
        <f>IF(D$12=0,0,D32/D$12)</f>
        <v>0</v>
      </c>
      <c r="G32" s="13"/>
      <c r="H32" s="21">
        <f>+H16-H18+H30</f>
        <v>-188.84</v>
      </c>
      <c r="I32" s="13"/>
      <c r="J32" s="22">
        <f>IF(H$12=0,0,H32/H$12)</f>
        <v>0</v>
      </c>
      <c r="K32" s="16"/>
      <c r="L32" s="21">
        <f>+D32-H32</f>
        <v>119.55</v>
      </c>
      <c r="M32" s="16"/>
      <c r="N32" s="22">
        <f>IF(H32=0,0,L32/H32)</f>
        <v>-0.63307561957212455</v>
      </c>
      <c r="O32" s="26"/>
      <c r="P32" s="21">
        <f>+P16-P18+P30</f>
        <v>-69.290000000000006</v>
      </c>
      <c r="Q32" s="13"/>
      <c r="R32" s="22">
        <f>IF(P$12=0,0,P32/P$12)</f>
        <v>0</v>
      </c>
      <c r="S32" s="13"/>
      <c r="T32" s="21">
        <f>+T16-T18+T30</f>
        <v>-1303.3600000000001</v>
      </c>
      <c r="U32" s="13"/>
      <c r="V32" s="22">
        <f>IF(T$12=0,0,T32/T$12)</f>
        <v>0</v>
      </c>
      <c r="W32" s="16"/>
      <c r="X32" s="21">
        <f>+P32-T32</f>
        <v>1234.0700000000002</v>
      </c>
      <c r="Y32" s="16"/>
      <c r="Z32" s="22">
        <f>IF(T32=0,0,X32/T32)</f>
        <v>-0.94683740486128165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125</v>
      </c>
      <c r="C36" s="25"/>
      <c r="D36" s="33">
        <f>+D32-D34</f>
        <v>-69.290000000000006</v>
      </c>
      <c r="E36" s="13"/>
      <c r="F36" s="35">
        <f>IF(D$12=0,0,D36/D$12)</f>
        <v>0</v>
      </c>
      <c r="G36" s="13"/>
      <c r="H36" s="33">
        <f>+H32-H34</f>
        <v>-188.84</v>
      </c>
      <c r="I36" s="13"/>
      <c r="J36" s="35">
        <f>IF(H$12=0,0,H36/H$12)</f>
        <v>0</v>
      </c>
      <c r="K36" s="16"/>
      <c r="L36" s="33">
        <f>D36-H36</f>
        <v>119.55</v>
      </c>
      <c r="M36" s="16"/>
      <c r="N36" s="35">
        <f>IF(H36=0,0,L36/H36)</f>
        <v>-0.63307561957212455</v>
      </c>
      <c r="O36" s="26"/>
      <c r="P36" s="33">
        <f>+P32-P34</f>
        <v>-69.290000000000006</v>
      </c>
      <c r="Q36" s="13"/>
      <c r="R36" s="35">
        <f>IF(P$12=0,0,P36/P$12)</f>
        <v>0</v>
      </c>
      <c r="S36" s="13"/>
      <c r="T36" s="33">
        <f>+T32-T34</f>
        <v>-1303.3600000000001</v>
      </c>
      <c r="U36" s="13"/>
      <c r="V36" s="35">
        <f>IF(T$12=0,0,T36/T$12)</f>
        <v>0</v>
      </c>
      <c r="W36" s="16"/>
      <c r="X36" s="33">
        <f>P36-T36</f>
        <v>1234.0700000000002</v>
      </c>
      <c r="Y36" s="16"/>
      <c r="Z36" s="35">
        <f>IF(T36=0,0,X36/T36)</f>
        <v>-0.94683740486128165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5" t="s">
        <v>293</v>
      </c>
      <c r="C39" s="25"/>
      <c r="D39" s="31">
        <f>SUM(D36:D38)</f>
        <v>-69.290000000000006</v>
      </c>
      <c r="E39" s="13"/>
      <c r="F39" s="32">
        <f>IF(D$12=0,0,D39/D$12)</f>
        <v>0</v>
      </c>
      <c r="G39" s="13"/>
      <c r="H39" s="31">
        <f>SUM(H36:H38)</f>
        <v>-188.84</v>
      </c>
      <c r="I39" s="13"/>
      <c r="J39" s="32">
        <f>IF(H$12=0,0,H39/H$12)</f>
        <v>0</v>
      </c>
      <c r="K39" s="16"/>
      <c r="L39" s="31">
        <f>+D39-H39</f>
        <v>119.55</v>
      </c>
      <c r="M39" s="16"/>
      <c r="N39" s="32">
        <f>IF(H39=0,0,L39/H39)</f>
        <v>-0.63307561957212455</v>
      </c>
      <c r="O39" s="26"/>
      <c r="P39" s="31">
        <f>SUM(P36:P38)</f>
        <v>-69.290000000000006</v>
      </c>
      <c r="Q39" s="13"/>
      <c r="R39" s="32">
        <f>IF(P$12=0,0,P39/P$12)</f>
        <v>0</v>
      </c>
      <c r="S39" s="13"/>
      <c r="T39" s="31">
        <f>SUM(T36:T38)</f>
        <v>-1303.3600000000001</v>
      </c>
      <c r="U39" s="13"/>
      <c r="V39" s="32">
        <f>IF(T$12=0,0,T39/T$12)</f>
        <v>0</v>
      </c>
      <c r="W39" s="16"/>
      <c r="X39" s="31">
        <f>+P39-T39</f>
        <v>1234.0700000000002</v>
      </c>
      <c r="Y39" s="16"/>
      <c r="Z39" s="32">
        <f>IF(T39=0,0,X39/T39)</f>
        <v>-0.94683740486128165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8">
        <v>44481.985668518515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3" t="s">
        <v>56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52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","411", " - ", "University Dining")</f>
        <v>Department 411 - University Dining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43697.029999999992</v>
      </c>
      <c r="E18" s="20"/>
      <c r="F18" s="30">
        <f t="shared" ref="F18:F27" si="0">IF(D$12=0,0,D18/D$12)</f>
        <v>0</v>
      </c>
      <c r="G18" s="20"/>
      <c r="H18" s="20">
        <f>SUM(OSRRefH22x_0)</f>
        <v>28429.94</v>
      </c>
      <c r="I18" s="20"/>
      <c r="J18" s="30">
        <f t="shared" ref="J18:J27" si="1">IF(H$12=0,0,H18/H$12)</f>
        <v>0</v>
      </c>
      <c r="K18" s="4"/>
      <c r="L18" s="20">
        <f t="shared" ref="L18:L27" si="2">+D18-H18</f>
        <v>15267.089999999993</v>
      </c>
      <c r="M18" s="4"/>
      <c r="N18" s="30">
        <f t="shared" ref="N18:N27" si="3">IF(H18=0,0,L18/H18)</f>
        <v>0.53700746466577109</v>
      </c>
      <c r="O18" s="10"/>
      <c r="P18" s="20">
        <f>SUM(OSRRefP22x_0)</f>
        <v>149755.28</v>
      </c>
      <c r="Q18" s="20"/>
      <c r="R18" s="30">
        <f t="shared" ref="R18:R27" si="4">IF(P$12=0,0,P18/P$12)</f>
        <v>0</v>
      </c>
      <c r="S18" s="20"/>
      <c r="T18" s="20">
        <f>SUM(OSRRefT22x_0)</f>
        <v>58752.15</v>
      </c>
      <c r="U18" s="20"/>
      <c r="V18" s="30">
        <f t="shared" ref="V18:V27" si="5">IF(T$12=0,0,T18/T$12)</f>
        <v>0</v>
      </c>
      <c r="W18" s="4"/>
      <c r="X18" s="20">
        <f t="shared" ref="X18:X27" si="6">+P18-T18</f>
        <v>91003.13</v>
      </c>
      <c r="Y18" s="4"/>
      <c r="Z18" s="30">
        <f t="shared" ref="Z18:Z27" si="7">IF(T18=0,0,X18/T18)</f>
        <v>1.548932762460608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9232</v>
      </c>
      <c r="E19" s="1"/>
      <c r="F19" s="5">
        <f t="shared" si="0"/>
        <v>0</v>
      </c>
      <c r="G19" s="1"/>
      <c r="H19" s="1">
        <f>SUM(OSRRefH22_0x_0)</f>
        <v>5739.17</v>
      </c>
      <c r="I19" s="1"/>
      <c r="J19" s="5">
        <f t="shared" si="1"/>
        <v>0</v>
      </c>
      <c r="K19" s="1"/>
      <c r="L19" s="1">
        <f t="shared" si="2"/>
        <v>3492.83</v>
      </c>
      <c r="M19" s="1"/>
      <c r="N19" s="5">
        <f t="shared" si="3"/>
        <v>0.60859497104982074</v>
      </c>
      <c r="O19" s="14"/>
      <c r="P19" s="1">
        <f>SUM(OSRRefP22_0x_0)</f>
        <v>27360.690000000002</v>
      </c>
      <c r="Q19" s="1"/>
      <c r="R19" s="5">
        <f t="shared" si="4"/>
        <v>0</v>
      </c>
      <c r="S19" s="1"/>
      <c r="T19" s="1">
        <f>SUM(OSRRefT22_0x_0)</f>
        <v>16797.71</v>
      </c>
      <c r="U19" s="1"/>
      <c r="V19" s="5">
        <f t="shared" si="5"/>
        <v>0</v>
      </c>
      <c r="W19" s="1"/>
      <c r="X19" s="1">
        <f t="shared" si="6"/>
        <v>10562.980000000003</v>
      </c>
      <c r="Y19" s="1"/>
      <c r="Z19" s="5">
        <f t="shared" si="7"/>
        <v>0.62883452565855724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1459.25</v>
      </c>
      <c r="E20" s="2"/>
      <c r="F20" s="6">
        <f t="shared" si="0"/>
        <v>0</v>
      </c>
      <c r="G20" s="2"/>
      <c r="H20" s="7">
        <v>846.8</v>
      </c>
      <c r="I20" s="2"/>
      <c r="J20" s="6">
        <f t="shared" si="1"/>
        <v>0</v>
      </c>
      <c r="K20" s="2"/>
      <c r="L20" s="7">
        <f t="shared" si="2"/>
        <v>612.45000000000005</v>
      </c>
      <c r="M20" s="2"/>
      <c r="N20" s="6">
        <f t="shared" si="3"/>
        <v>0.72325224374114327</v>
      </c>
      <c r="O20" s="11"/>
      <c r="P20" s="7">
        <v>4122.59</v>
      </c>
      <c r="Q20" s="2"/>
      <c r="R20" s="6">
        <f t="shared" si="4"/>
        <v>0</v>
      </c>
      <c r="S20" s="2"/>
      <c r="T20" s="7">
        <v>2699.52</v>
      </c>
      <c r="U20" s="2"/>
      <c r="V20" s="6">
        <f t="shared" si="5"/>
        <v>0</v>
      </c>
      <c r="W20" s="2"/>
      <c r="X20" s="7">
        <f t="shared" si="6"/>
        <v>1423.0700000000002</v>
      </c>
      <c r="Y20" s="2"/>
      <c r="Z20" s="6">
        <f t="shared" si="7"/>
        <v>0.52715667970602187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224.03</v>
      </c>
      <c r="E21" s="2"/>
      <c r="F21" s="6">
        <f t="shared" si="0"/>
        <v>0</v>
      </c>
      <c r="G21" s="2"/>
      <c r="H21" s="7">
        <v>36.53</v>
      </c>
      <c r="I21" s="2"/>
      <c r="J21" s="6">
        <f t="shared" si="1"/>
        <v>0</v>
      </c>
      <c r="K21" s="2"/>
      <c r="L21" s="7">
        <f t="shared" si="2"/>
        <v>187.5</v>
      </c>
      <c r="M21" s="2"/>
      <c r="N21" s="6">
        <f t="shared" si="3"/>
        <v>5.1327675882836026</v>
      </c>
      <c r="O21" s="11"/>
      <c r="P21" s="7">
        <v>670.16</v>
      </c>
      <c r="Q21" s="2"/>
      <c r="R21" s="6">
        <f t="shared" si="4"/>
        <v>0</v>
      </c>
      <c r="S21" s="2"/>
      <c r="T21" s="7">
        <v>198.82</v>
      </c>
      <c r="U21" s="2"/>
      <c r="V21" s="6">
        <f t="shared" si="5"/>
        <v>0</v>
      </c>
      <c r="W21" s="2"/>
      <c r="X21" s="7">
        <f t="shared" si="6"/>
        <v>471.34</v>
      </c>
      <c r="Y21" s="2"/>
      <c r="Z21" s="6">
        <f t="shared" si="7"/>
        <v>2.3706870536163365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3337.11</v>
      </c>
      <c r="E22" s="2"/>
      <c r="F22" s="6">
        <f t="shared" si="0"/>
        <v>0</v>
      </c>
      <c r="G22" s="2"/>
      <c r="H22" s="7">
        <v>1950.75</v>
      </c>
      <c r="I22" s="2"/>
      <c r="J22" s="6">
        <f t="shared" si="1"/>
        <v>0</v>
      </c>
      <c r="K22" s="2"/>
      <c r="L22" s="7">
        <f t="shared" si="2"/>
        <v>1386.3600000000001</v>
      </c>
      <c r="M22" s="2"/>
      <c r="N22" s="6">
        <f t="shared" si="3"/>
        <v>0.71068050749711653</v>
      </c>
      <c r="O22" s="11"/>
      <c r="P22" s="7">
        <v>9973.83</v>
      </c>
      <c r="Q22" s="2"/>
      <c r="R22" s="6">
        <f t="shared" si="4"/>
        <v>0</v>
      </c>
      <c r="S22" s="2"/>
      <c r="T22" s="7">
        <v>4718.22</v>
      </c>
      <c r="U22" s="2"/>
      <c r="V22" s="6">
        <f t="shared" si="5"/>
        <v>0</v>
      </c>
      <c r="W22" s="2"/>
      <c r="X22" s="7">
        <f t="shared" si="6"/>
        <v>5255.61</v>
      </c>
      <c r="Y22" s="2"/>
      <c r="Z22" s="6">
        <f t="shared" si="7"/>
        <v>1.1138967661533374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45.15</v>
      </c>
      <c r="E23" s="2"/>
      <c r="F23" s="6">
        <f t="shared" si="0"/>
        <v>0</v>
      </c>
      <c r="G23" s="2"/>
      <c r="H23" s="7">
        <v>28.78</v>
      </c>
      <c r="I23" s="2"/>
      <c r="J23" s="6">
        <f t="shared" si="1"/>
        <v>0</v>
      </c>
      <c r="K23" s="2"/>
      <c r="L23" s="7">
        <f t="shared" si="2"/>
        <v>16.369999999999997</v>
      </c>
      <c r="M23" s="2"/>
      <c r="N23" s="6">
        <f t="shared" si="3"/>
        <v>0.56879777623349537</v>
      </c>
      <c r="O23" s="11"/>
      <c r="P23" s="7">
        <v>135.06</v>
      </c>
      <c r="Q23" s="2"/>
      <c r="R23" s="6">
        <f t="shared" si="4"/>
        <v>0</v>
      </c>
      <c r="S23" s="2"/>
      <c r="T23" s="7">
        <v>91.75</v>
      </c>
      <c r="U23" s="2"/>
      <c r="V23" s="6">
        <f t="shared" si="5"/>
        <v>0</v>
      </c>
      <c r="W23" s="2"/>
      <c r="X23" s="7">
        <f t="shared" si="6"/>
        <v>43.31</v>
      </c>
      <c r="Y23" s="2"/>
      <c r="Z23" s="6">
        <f t="shared" si="7"/>
        <v>0.47204359673024526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1873.21</v>
      </c>
      <c r="E24" s="2"/>
      <c r="F24" s="6">
        <f t="shared" si="0"/>
        <v>0</v>
      </c>
      <c r="G24" s="2"/>
      <c r="H24" s="7">
        <v>1221.05</v>
      </c>
      <c r="I24" s="2"/>
      <c r="J24" s="6">
        <f t="shared" si="1"/>
        <v>0</v>
      </c>
      <c r="K24" s="2"/>
      <c r="L24" s="7">
        <f t="shared" si="2"/>
        <v>652.16000000000008</v>
      </c>
      <c r="M24" s="2"/>
      <c r="N24" s="6">
        <f t="shared" si="3"/>
        <v>0.53409770279677338</v>
      </c>
      <c r="O24" s="11"/>
      <c r="P24" s="7">
        <v>5619.63</v>
      </c>
      <c r="Q24" s="2"/>
      <c r="R24" s="6">
        <f t="shared" si="4"/>
        <v>0</v>
      </c>
      <c r="S24" s="2"/>
      <c r="T24" s="7">
        <v>3984.72</v>
      </c>
      <c r="U24" s="2"/>
      <c r="V24" s="6">
        <f t="shared" si="5"/>
        <v>0</v>
      </c>
      <c r="W24" s="2"/>
      <c r="X24" s="7">
        <f t="shared" si="6"/>
        <v>1634.9100000000003</v>
      </c>
      <c r="Y24" s="2"/>
      <c r="Z24" s="6">
        <f t="shared" si="7"/>
        <v>0.41029482623622249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7">
        <v>1518.94</v>
      </c>
      <c r="E25" s="2"/>
      <c r="F25" s="6">
        <f t="shared" si="0"/>
        <v>0</v>
      </c>
      <c r="G25" s="2"/>
      <c r="H25" s="7">
        <v>1022.52</v>
      </c>
      <c r="I25" s="2"/>
      <c r="J25" s="6">
        <f t="shared" si="1"/>
        <v>0</v>
      </c>
      <c r="K25" s="2"/>
      <c r="L25" s="7">
        <f t="shared" si="2"/>
        <v>496.42000000000007</v>
      </c>
      <c r="M25" s="2"/>
      <c r="N25" s="6">
        <f t="shared" si="3"/>
        <v>0.48548683644329704</v>
      </c>
      <c r="O25" s="11"/>
      <c r="P25" s="7">
        <v>4556.82</v>
      </c>
      <c r="Q25" s="2"/>
      <c r="R25" s="6">
        <f t="shared" si="4"/>
        <v>0</v>
      </c>
      <c r="S25" s="2"/>
      <c r="T25" s="7">
        <v>3259.7</v>
      </c>
      <c r="U25" s="2"/>
      <c r="V25" s="6">
        <f t="shared" si="5"/>
        <v>0</v>
      </c>
      <c r="W25" s="2"/>
      <c r="X25" s="7">
        <f t="shared" si="6"/>
        <v>1297.1199999999999</v>
      </c>
      <c r="Y25" s="2"/>
      <c r="Z25" s="6">
        <f t="shared" si="7"/>
        <v>0.39792618952664355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7">
        <v>510.58</v>
      </c>
      <c r="E26" s="2"/>
      <c r="F26" s="6">
        <f t="shared" si="0"/>
        <v>0</v>
      </c>
      <c r="G26" s="2"/>
      <c r="H26" s="7">
        <v>510.58</v>
      </c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1531.74</v>
      </c>
      <c r="Q26" s="2"/>
      <c r="R26" s="6">
        <f t="shared" si="4"/>
        <v>0</v>
      </c>
      <c r="S26" s="2"/>
      <c r="T26" s="7">
        <v>1627.68</v>
      </c>
      <c r="U26" s="2"/>
      <c r="V26" s="6">
        <f t="shared" si="5"/>
        <v>0</v>
      </c>
      <c r="W26" s="2"/>
      <c r="X26" s="7">
        <f t="shared" si="6"/>
        <v>-95.940000000000055</v>
      </c>
      <c r="Y26" s="2"/>
      <c r="Z26" s="6">
        <f t="shared" si="7"/>
        <v>-5.894278973754058E-2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7">
        <v>263.73</v>
      </c>
      <c r="E27" s="2"/>
      <c r="F27" s="6">
        <f t="shared" si="0"/>
        <v>0</v>
      </c>
      <c r="G27" s="2"/>
      <c r="H27" s="7">
        <v>122.16</v>
      </c>
      <c r="I27" s="2"/>
      <c r="J27" s="6">
        <f t="shared" si="1"/>
        <v>0</v>
      </c>
      <c r="K27" s="2"/>
      <c r="L27" s="7">
        <f t="shared" si="2"/>
        <v>141.57000000000002</v>
      </c>
      <c r="M27" s="2"/>
      <c r="N27" s="6">
        <f t="shared" si="3"/>
        <v>1.1588899803536348</v>
      </c>
      <c r="O27" s="11"/>
      <c r="P27" s="7">
        <v>750.86</v>
      </c>
      <c r="Q27" s="2"/>
      <c r="R27" s="6">
        <f t="shared" si="4"/>
        <v>0</v>
      </c>
      <c r="S27" s="2"/>
      <c r="T27" s="7">
        <v>217.3</v>
      </c>
      <c r="U27" s="2"/>
      <c r="V27" s="6">
        <f t="shared" si="5"/>
        <v>0</v>
      </c>
      <c r="W27" s="2"/>
      <c r="X27" s="7">
        <f t="shared" si="6"/>
        <v>533.55999999999995</v>
      </c>
      <c r="Y27" s="2"/>
      <c r="Z27" s="6">
        <f t="shared" si="7"/>
        <v>2.4554072710538422</v>
      </c>
    </row>
    <row r="28" spans="1:26" s="27" customFormat="1" outlineLevel="1" collapsed="1" x14ac:dyDescent="0.25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17388.849999999999</v>
      </c>
      <c r="E28" s="1"/>
      <c r="F28" s="5">
        <f t="shared" ref="F28:F33" si="8">IF(D$12=0,0,D28/D$12)</f>
        <v>0</v>
      </c>
      <c r="G28" s="1"/>
      <c r="H28" s="1">
        <f>SUM(OSRRefH22_1x_0)</f>
        <v>11069.28</v>
      </c>
      <c r="I28" s="1"/>
      <c r="J28" s="5">
        <f t="shared" ref="J28:J33" si="9">IF(H$12=0,0,H28/H$12)</f>
        <v>0</v>
      </c>
      <c r="K28" s="1"/>
      <c r="L28" s="1">
        <f t="shared" ref="L28:L33" si="10">+D28-H28</f>
        <v>6319.5699999999979</v>
      </c>
      <c r="M28" s="1"/>
      <c r="N28" s="5">
        <f t="shared" ref="N28:N33" si="11">IF(H28=0,0,L28/H28)</f>
        <v>0.57091066446959493</v>
      </c>
      <c r="O28" s="14"/>
      <c r="P28" s="1">
        <f>SUM(OSRRefP22_1x_0)</f>
        <v>54511.77</v>
      </c>
      <c r="Q28" s="1"/>
      <c r="R28" s="5">
        <f t="shared" ref="R28:R33" si="12">IF(P$12=0,0,P28/P$12)</f>
        <v>0</v>
      </c>
      <c r="S28" s="1"/>
      <c r="T28" s="1">
        <f>SUM(OSRRefT22_1x_0)</f>
        <v>35425.89</v>
      </c>
      <c r="U28" s="1"/>
      <c r="V28" s="5">
        <f t="shared" ref="V28:V33" si="13">IF(T$12=0,0,T28/T$12)</f>
        <v>0</v>
      </c>
      <c r="W28" s="1"/>
      <c r="X28" s="1">
        <f t="shared" ref="X28:X33" si="14">+P28-T28</f>
        <v>19085.879999999997</v>
      </c>
      <c r="Y28" s="1"/>
      <c r="Z28" s="5">
        <f t="shared" ref="Z28:Z33" si="15">IF(T28=0,0,X28/T28)</f>
        <v>0.53875513078147075</v>
      </c>
    </row>
    <row r="29" spans="1:26" s="24" customFormat="1" hidden="1" outlineLevel="2" x14ac:dyDescent="0.25">
      <c r="A29" s="28"/>
      <c r="B29" s="11" t="str">
        <f>CONCATENATE("          ", "6001", " - ", "ADMINISTRATIVE SALARIES")</f>
        <v xml:space="preserve">          6001 - ADMINISTRATIVE SALARIES</v>
      </c>
      <c r="C29" s="11"/>
      <c r="D29" s="7">
        <v>10515.82</v>
      </c>
      <c r="E29" s="2"/>
      <c r="F29" s="6">
        <f t="shared" si="8"/>
        <v>0</v>
      </c>
      <c r="G29" s="2"/>
      <c r="H29" s="7">
        <v>11069.28</v>
      </c>
      <c r="I29" s="2"/>
      <c r="J29" s="6">
        <f t="shared" si="9"/>
        <v>0</v>
      </c>
      <c r="K29" s="2"/>
      <c r="L29" s="7">
        <f t="shared" si="10"/>
        <v>-553.46000000000095</v>
      </c>
      <c r="M29" s="2"/>
      <c r="N29" s="6">
        <f t="shared" si="11"/>
        <v>-4.9999638639550259E-2</v>
      </c>
      <c r="O29" s="11"/>
      <c r="P29" s="7">
        <v>33207.519999999997</v>
      </c>
      <c r="Q29" s="2"/>
      <c r="R29" s="6">
        <f t="shared" si="12"/>
        <v>0</v>
      </c>
      <c r="S29" s="2"/>
      <c r="T29" s="7">
        <v>33345.89</v>
      </c>
      <c r="U29" s="2"/>
      <c r="V29" s="6">
        <f t="shared" si="13"/>
        <v>0</v>
      </c>
      <c r="W29" s="2"/>
      <c r="X29" s="7">
        <f t="shared" si="14"/>
        <v>-138.37000000000262</v>
      </c>
      <c r="Y29" s="2"/>
      <c r="Z29" s="6">
        <f t="shared" si="15"/>
        <v>-4.1495368694613524E-3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7">
        <v>5532.91</v>
      </c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5532.91</v>
      </c>
      <c r="M30" s="2"/>
      <c r="N30" s="6">
        <f t="shared" si="11"/>
        <v>0</v>
      </c>
      <c r="O30" s="11"/>
      <c r="P30" s="7">
        <v>19365.27</v>
      </c>
      <c r="Q30" s="2"/>
      <c r="R30" s="6">
        <f t="shared" si="12"/>
        <v>0</v>
      </c>
      <c r="S30" s="2"/>
      <c r="T30" s="7">
        <v>2080</v>
      </c>
      <c r="U30" s="2"/>
      <c r="V30" s="6">
        <f t="shared" si="13"/>
        <v>0</v>
      </c>
      <c r="W30" s="2"/>
      <c r="X30" s="7">
        <f t="shared" si="14"/>
        <v>17285.27</v>
      </c>
      <c r="Y30" s="2"/>
      <c r="Z30" s="6">
        <f t="shared" si="15"/>
        <v>8.3102259615384622</v>
      </c>
    </row>
    <row r="31" spans="1:26" s="24" customFormat="1" hidden="1" outlineLevel="2" x14ac:dyDescent="0.25">
      <c r="A31" s="28"/>
      <c r="B31" s="11" t="str">
        <f>CONCATENATE("          ", "6004", " - ", "STAFF HOURLY")</f>
        <v xml:space="preserve">          6004 - STAFF HOURLY</v>
      </c>
      <c r="C31" s="11"/>
      <c r="D31" s="7">
        <v>312.5</v>
      </c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312.5</v>
      </c>
      <c r="M31" s="2"/>
      <c r="N31" s="6">
        <f t="shared" si="11"/>
        <v>0</v>
      </c>
      <c r="O31" s="11"/>
      <c r="P31" s="7">
        <v>312.5</v>
      </c>
      <c r="Q31" s="2"/>
      <c r="R31" s="6">
        <f t="shared" si="12"/>
        <v>0</v>
      </c>
      <c r="S31" s="2"/>
      <c r="T31" s="7"/>
      <c r="U31" s="2"/>
      <c r="V31" s="6">
        <f t="shared" si="13"/>
        <v>0</v>
      </c>
      <c r="W31" s="2"/>
      <c r="X31" s="7">
        <f t="shared" si="14"/>
        <v>312.5</v>
      </c>
      <c r="Y31" s="2"/>
      <c r="Z31" s="6">
        <f t="shared" si="15"/>
        <v>0</v>
      </c>
    </row>
    <row r="32" spans="1:26" s="24" customFormat="1" hidden="1" outlineLevel="2" x14ac:dyDescent="0.25">
      <c r="A32" s="28"/>
      <c r="B32" s="11" t="str">
        <f>CONCATENATE("          ", "6005", " - ", "TEMPORARY WAGES-HOURLY")</f>
        <v xml:space="preserve">          6005 - TEMPORARY WAGES-HOURLY</v>
      </c>
      <c r="C32" s="11"/>
      <c r="D32" s="7">
        <v>1395.62</v>
      </c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1395.62</v>
      </c>
      <c r="M32" s="2"/>
      <c r="N32" s="6">
        <f t="shared" si="11"/>
        <v>0</v>
      </c>
      <c r="O32" s="11"/>
      <c r="P32" s="7">
        <v>1626.48</v>
      </c>
      <c r="Q32" s="2"/>
      <c r="R32" s="6">
        <f t="shared" si="12"/>
        <v>0</v>
      </c>
      <c r="S32" s="2"/>
      <c r="T32" s="7"/>
      <c r="U32" s="2"/>
      <c r="V32" s="6">
        <f t="shared" si="13"/>
        <v>0</v>
      </c>
      <c r="W32" s="2"/>
      <c r="X32" s="7">
        <f t="shared" si="14"/>
        <v>1626.48</v>
      </c>
      <c r="Y32" s="2"/>
      <c r="Z32" s="6">
        <f t="shared" si="15"/>
        <v>0</v>
      </c>
    </row>
    <row r="33" spans="1:26" s="24" customFormat="1" hidden="1" outlineLevel="2" x14ac:dyDescent="0.25">
      <c r="A33" s="28"/>
      <c r="B33" s="11" t="str">
        <f>CONCATENATE("          ", "6007", " - ", "STUDENT HOURLY")</f>
        <v xml:space="preserve">          6007 - STUDENT HOURLY</v>
      </c>
      <c r="C33" s="11"/>
      <c r="D33" s="7">
        <v>-368</v>
      </c>
      <c r="E33" s="2"/>
      <c r="F33" s="6">
        <f t="shared" si="8"/>
        <v>0</v>
      </c>
      <c r="G33" s="2"/>
      <c r="H33" s="7"/>
      <c r="I33" s="2"/>
      <c r="J33" s="6">
        <f t="shared" si="9"/>
        <v>0</v>
      </c>
      <c r="K33" s="2"/>
      <c r="L33" s="7">
        <f t="shared" si="10"/>
        <v>-368</v>
      </c>
      <c r="M33" s="2"/>
      <c r="N33" s="6">
        <f t="shared" si="11"/>
        <v>0</v>
      </c>
      <c r="O33" s="11"/>
      <c r="P33" s="7">
        <v>0</v>
      </c>
      <c r="Q33" s="2"/>
      <c r="R33" s="6">
        <f t="shared" si="12"/>
        <v>0</v>
      </c>
      <c r="S33" s="2"/>
      <c r="T33" s="7"/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7" customFormat="1" outlineLevel="1" collapsed="1" x14ac:dyDescent="0.25">
      <c r="A34" s="29"/>
      <c r="B34" s="14" t="str">
        <f>CONCATENATE("     ","Bank/card Fees                                    ")</f>
        <v xml:space="preserve">     Bank/card Fees                                    </v>
      </c>
      <c r="C34" s="14"/>
      <c r="D34" s="1">
        <f>SUM(OSRRefD22_2x_0)</f>
        <v>242.91</v>
      </c>
      <c r="E34" s="1"/>
      <c r="F34" s="5">
        <f t="shared" ref="F34:F38" si="16">IF(D$12=0,0,D34/D$12)</f>
        <v>0</v>
      </c>
      <c r="G34" s="1"/>
      <c r="H34" s="1">
        <f>SUM(OSRRefH22_2x_0)</f>
        <v>429.18</v>
      </c>
      <c r="I34" s="1"/>
      <c r="J34" s="5">
        <f t="shared" ref="J34:J38" si="17">IF(H$12=0,0,H34/H$12)</f>
        <v>0</v>
      </c>
      <c r="K34" s="1"/>
      <c r="L34" s="1">
        <f t="shared" ref="L34:L38" si="18">+D34-H34</f>
        <v>-186.27</v>
      </c>
      <c r="M34" s="1"/>
      <c r="N34" s="5">
        <f t="shared" ref="N34:N38" si="19">IF(H34=0,0,L34/H34)</f>
        <v>-0.43401370054522581</v>
      </c>
      <c r="O34" s="14"/>
      <c r="P34" s="1">
        <f>SUM(OSRRefP22_2x_0)</f>
        <v>728.73</v>
      </c>
      <c r="Q34" s="1"/>
      <c r="R34" s="5">
        <f t="shared" ref="R34:R38" si="20">IF(P$12=0,0,P34/P$12)</f>
        <v>0</v>
      </c>
      <c r="S34" s="1"/>
      <c r="T34" s="1">
        <f>SUM(OSRRefT22_2x_0)</f>
        <v>1043.81</v>
      </c>
      <c r="U34" s="1"/>
      <c r="V34" s="5">
        <f t="shared" ref="V34:V38" si="21">IF(T$12=0,0,T34/T$12)</f>
        <v>0</v>
      </c>
      <c r="W34" s="1"/>
      <c r="X34" s="1">
        <f t="shared" ref="X34:X38" si="22">+P34-T34</f>
        <v>-315.07999999999993</v>
      </c>
      <c r="Y34" s="1"/>
      <c r="Z34" s="5">
        <f t="shared" ref="Z34:Z38" si="23">IF(T34=0,0,X34/T34)</f>
        <v>-0.30185570170816522</v>
      </c>
    </row>
    <row r="35" spans="1:26" s="24" customFormat="1" hidden="1" outlineLevel="2" x14ac:dyDescent="0.25">
      <c r="A35" s="28"/>
      <c r="B35" s="11" t="str">
        <f>CONCATENATE("          ", "6381", " - ", "BANK/CREDIT CARD FEES")</f>
        <v xml:space="preserve">          6381 - BANK/CREDIT CARD FEES</v>
      </c>
      <c r="C35" s="11"/>
      <c r="D35" s="7">
        <v>242.91</v>
      </c>
      <c r="E35" s="2"/>
      <c r="F35" s="6">
        <f t="shared" si="16"/>
        <v>0</v>
      </c>
      <c r="G35" s="2"/>
      <c r="H35" s="7">
        <v>429.18</v>
      </c>
      <c r="I35" s="2"/>
      <c r="J35" s="6">
        <f t="shared" si="17"/>
        <v>0</v>
      </c>
      <c r="K35" s="2"/>
      <c r="L35" s="7">
        <f t="shared" si="18"/>
        <v>-186.27</v>
      </c>
      <c r="M35" s="2"/>
      <c r="N35" s="6">
        <f t="shared" si="19"/>
        <v>-0.43401370054522581</v>
      </c>
      <c r="O35" s="11"/>
      <c r="P35" s="7">
        <v>728.73</v>
      </c>
      <c r="Q35" s="2"/>
      <c r="R35" s="6">
        <f t="shared" si="20"/>
        <v>0</v>
      </c>
      <c r="S35" s="2"/>
      <c r="T35" s="7">
        <v>1043.81</v>
      </c>
      <c r="U35" s="2"/>
      <c r="V35" s="6">
        <f t="shared" si="21"/>
        <v>0</v>
      </c>
      <c r="W35" s="2"/>
      <c r="X35" s="7">
        <f t="shared" si="22"/>
        <v>-315.07999999999993</v>
      </c>
      <c r="Y35" s="2"/>
      <c r="Z35" s="6">
        <f t="shared" si="23"/>
        <v>-0.30185570170816522</v>
      </c>
    </row>
    <row r="36" spans="1:26" s="27" customFormat="1" outlineLevel="1" collapsed="1" x14ac:dyDescent="0.25">
      <c r="A36" s="29"/>
      <c r="B36" s="14" t="str">
        <f>CONCATENATE("     ","Depreciation                                      ")</f>
        <v xml:space="preserve">     Depreciation                                      </v>
      </c>
      <c r="C36" s="14"/>
      <c r="D36" s="1">
        <f>SUM(OSRRefD22_3x_0)</f>
        <v>5331.53</v>
      </c>
      <c r="E36" s="1"/>
      <c r="F36" s="5">
        <f t="shared" si="16"/>
        <v>0</v>
      </c>
      <c r="G36" s="1"/>
      <c r="H36" s="1">
        <f>SUM(OSRRefH22_3x_0)</f>
        <v>7041.25</v>
      </c>
      <c r="I36" s="1"/>
      <c r="J36" s="5">
        <f t="shared" si="17"/>
        <v>0</v>
      </c>
      <c r="K36" s="1"/>
      <c r="L36" s="1">
        <f t="shared" si="18"/>
        <v>-1709.7200000000003</v>
      </c>
      <c r="M36" s="1"/>
      <c r="N36" s="5">
        <f t="shared" si="19"/>
        <v>-0.2428148411148589</v>
      </c>
      <c r="O36" s="14"/>
      <c r="P36" s="1">
        <f>SUM(OSRRefP22_3x_0)</f>
        <v>15994.59</v>
      </c>
      <c r="Q36" s="1"/>
      <c r="R36" s="5">
        <f t="shared" si="20"/>
        <v>0</v>
      </c>
      <c r="S36" s="1"/>
      <c r="T36" s="1">
        <f>SUM(OSRRefT22_3x_0)</f>
        <v>21123.77</v>
      </c>
      <c r="U36" s="1"/>
      <c r="V36" s="5">
        <f t="shared" si="21"/>
        <v>0</v>
      </c>
      <c r="W36" s="1"/>
      <c r="X36" s="1">
        <f t="shared" si="22"/>
        <v>-5129.18</v>
      </c>
      <c r="Y36" s="1"/>
      <c r="Z36" s="5">
        <f t="shared" si="23"/>
        <v>-0.24281555801828936</v>
      </c>
    </row>
    <row r="37" spans="1:26" s="24" customFormat="1" hidden="1" outlineLevel="2" x14ac:dyDescent="0.25">
      <c r="A37" s="28"/>
      <c r="B37" s="11" t="str">
        <f>CONCATENATE("          ", "6321", " - ", "BUILDING DEPRECIATION")</f>
        <v xml:space="preserve">          6321 - BUILDING DEPRECIATION</v>
      </c>
      <c r="C37" s="11"/>
      <c r="D37" s="7">
        <v>1822.68</v>
      </c>
      <c r="E37" s="2"/>
      <c r="F37" s="6">
        <f t="shared" si="16"/>
        <v>0</v>
      </c>
      <c r="G37" s="2"/>
      <c r="H37" s="7">
        <v>2084.0700000000002</v>
      </c>
      <c r="I37" s="2"/>
      <c r="J37" s="6">
        <f t="shared" si="17"/>
        <v>0</v>
      </c>
      <c r="K37" s="2"/>
      <c r="L37" s="7">
        <f t="shared" si="18"/>
        <v>-261.3900000000001</v>
      </c>
      <c r="M37" s="2"/>
      <c r="N37" s="6">
        <f t="shared" si="19"/>
        <v>-0.12542285048007029</v>
      </c>
      <c r="O37" s="11"/>
      <c r="P37" s="7">
        <v>5468.04</v>
      </c>
      <c r="Q37" s="2"/>
      <c r="R37" s="6">
        <f t="shared" si="20"/>
        <v>0</v>
      </c>
      <c r="S37" s="2"/>
      <c r="T37" s="7">
        <v>6252.23</v>
      </c>
      <c r="U37" s="2"/>
      <c r="V37" s="6">
        <f t="shared" si="21"/>
        <v>0</v>
      </c>
      <c r="W37" s="2"/>
      <c r="X37" s="7">
        <f t="shared" si="22"/>
        <v>-784.1899999999996</v>
      </c>
      <c r="Y37" s="2"/>
      <c r="Z37" s="6">
        <f t="shared" si="23"/>
        <v>-0.1254256481287476</v>
      </c>
    </row>
    <row r="38" spans="1:26" s="24" customFormat="1" hidden="1" outlineLevel="2" x14ac:dyDescent="0.25">
      <c r="A38" s="28"/>
      <c r="B38" s="11" t="str">
        <f>CONCATENATE("          ", "6322", " - ", "EQUIPMENT DEPRECIATION EXPENSE")</f>
        <v xml:space="preserve">          6322 - EQUIPMENT DEPRECIATION EXPENSE</v>
      </c>
      <c r="C38" s="11"/>
      <c r="D38" s="7">
        <v>3508.85</v>
      </c>
      <c r="E38" s="2"/>
      <c r="F38" s="6">
        <f t="shared" si="16"/>
        <v>0</v>
      </c>
      <c r="G38" s="2"/>
      <c r="H38" s="7">
        <v>4957.18</v>
      </c>
      <c r="I38" s="2"/>
      <c r="J38" s="6">
        <f t="shared" si="17"/>
        <v>0</v>
      </c>
      <c r="K38" s="2"/>
      <c r="L38" s="7">
        <f t="shared" si="18"/>
        <v>-1448.3300000000004</v>
      </c>
      <c r="M38" s="2"/>
      <c r="N38" s="6">
        <f t="shared" si="19"/>
        <v>-0.29216812784688073</v>
      </c>
      <c r="O38" s="11"/>
      <c r="P38" s="7">
        <v>10526.55</v>
      </c>
      <c r="Q38" s="2"/>
      <c r="R38" s="6">
        <f t="shared" si="20"/>
        <v>0</v>
      </c>
      <c r="S38" s="2"/>
      <c r="T38" s="7">
        <v>14871.54</v>
      </c>
      <c r="U38" s="2"/>
      <c r="V38" s="6">
        <f t="shared" si="21"/>
        <v>0</v>
      </c>
      <c r="W38" s="2"/>
      <c r="X38" s="7">
        <f t="shared" si="22"/>
        <v>-4344.9900000000016</v>
      </c>
      <c r="Y38" s="2"/>
      <c r="Z38" s="6">
        <f t="shared" si="23"/>
        <v>-0.29216812784688079</v>
      </c>
    </row>
    <row r="39" spans="1:26" s="27" customFormat="1" outlineLevel="1" collapsed="1" x14ac:dyDescent="0.25">
      <c r="A39" s="29"/>
      <c r="B39" s="14" t="str">
        <f>CONCATENATE("     ","Employees' Appreciation                           ")</f>
        <v xml:space="preserve">     Employees' Appreciation                           </v>
      </c>
      <c r="C39" s="14"/>
      <c r="D39" s="1">
        <f>SUM(OSRRefD22_4x_0)</f>
        <v>0</v>
      </c>
      <c r="E39" s="1"/>
      <c r="F39" s="5">
        <f t="shared" ref="F39:F52" si="24">IF(D$12=0,0,D39/D$12)</f>
        <v>0</v>
      </c>
      <c r="G39" s="1"/>
      <c r="H39" s="1">
        <f>SUM(OSRRefH22_4x_0)</f>
        <v>0</v>
      </c>
      <c r="I39" s="1"/>
      <c r="J39" s="5">
        <f t="shared" ref="J39:J52" si="25">IF(H$12=0,0,H39/H$12)</f>
        <v>0</v>
      </c>
      <c r="K39" s="1"/>
      <c r="L39" s="1">
        <f t="shared" ref="L39:L52" si="26">+D39-H39</f>
        <v>0</v>
      </c>
      <c r="M39" s="1"/>
      <c r="N39" s="5">
        <f t="shared" ref="N39:N52" si="27">IF(H39=0,0,L39/H39)</f>
        <v>0</v>
      </c>
      <c r="O39" s="14"/>
      <c r="P39" s="1">
        <f>SUM(OSRRefP22_4x_0)</f>
        <v>18</v>
      </c>
      <c r="Q39" s="1"/>
      <c r="R39" s="5">
        <f t="shared" ref="R39:R52" si="28">IF(P$12=0,0,P39/P$12)</f>
        <v>0</v>
      </c>
      <c r="S39" s="1"/>
      <c r="T39" s="1">
        <f>SUM(OSRRefT22_4x_0)</f>
        <v>0</v>
      </c>
      <c r="U39" s="1"/>
      <c r="V39" s="5">
        <f t="shared" ref="V39:V52" si="29">IF(T$12=0,0,T39/T$12)</f>
        <v>0</v>
      </c>
      <c r="W39" s="1"/>
      <c r="X39" s="1">
        <f t="shared" ref="X39:X52" si="30">+P39-T39</f>
        <v>18</v>
      </c>
      <c r="Y39" s="1"/>
      <c r="Z39" s="5">
        <f t="shared" ref="Z39:Z52" si="31">IF(T39=0,0,X39/T39)</f>
        <v>0</v>
      </c>
    </row>
    <row r="40" spans="1:26" s="24" customFormat="1" hidden="1" outlineLevel="2" x14ac:dyDescent="0.25">
      <c r="A40" s="28"/>
      <c r="B40" s="11" t="str">
        <f>CONCATENATE("          ", "6277", " - ", "EMPLOYEE APPRECIATION")</f>
        <v xml:space="preserve">          6277 - EMPLOYEE APPRECIATION</v>
      </c>
      <c r="C40" s="11"/>
      <c r="D40" s="7"/>
      <c r="E40" s="2"/>
      <c r="F40" s="6">
        <f t="shared" si="24"/>
        <v>0</v>
      </c>
      <c r="G40" s="2"/>
      <c r="H40" s="7"/>
      <c r="I40" s="2"/>
      <c r="J40" s="6">
        <f t="shared" si="25"/>
        <v>0</v>
      </c>
      <c r="K40" s="2"/>
      <c r="L40" s="7">
        <f t="shared" si="26"/>
        <v>0</v>
      </c>
      <c r="M40" s="2"/>
      <c r="N40" s="6">
        <f t="shared" si="27"/>
        <v>0</v>
      </c>
      <c r="O40" s="11"/>
      <c r="P40" s="7">
        <v>18</v>
      </c>
      <c r="Q40" s="2"/>
      <c r="R40" s="6">
        <f t="shared" si="28"/>
        <v>0</v>
      </c>
      <c r="S40" s="2"/>
      <c r="T40" s="7"/>
      <c r="U40" s="2"/>
      <c r="V40" s="6">
        <f t="shared" si="29"/>
        <v>0</v>
      </c>
      <c r="W40" s="2"/>
      <c r="X40" s="7">
        <f t="shared" si="30"/>
        <v>18</v>
      </c>
      <c r="Y40" s="2"/>
      <c r="Z40" s="6">
        <f t="shared" si="31"/>
        <v>0</v>
      </c>
    </row>
    <row r="41" spans="1:26" s="27" customFormat="1" outlineLevel="1" collapsed="1" x14ac:dyDescent="0.25">
      <c r="A41" s="29"/>
      <c r="B41" s="14" t="str">
        <f>CONCATENATE("     ","Equipment Rental                                  ")</f>
        <v xml:space="preserve">     Equipment Rental                                  </v>
      </c>
      <c r="C41" s="14"/>
      <c r="D41" s="1">
        <f>SUM(OSRRefD22_5x_0)</f>
        <v>91.26</v>
      </c>
      <c r="E41" s="1"/>
      <c r="F41" s="5">
        <f t="shared" si="24"/>
        <v>0</v>
      </c>
      <c r="G41" s="1"/>
      <c r="H41" s="1">
        <f>SUM(OSRRefH22_5x_0)</f>
        <v>91.26</v>
      </c>
      <c r="I41" s="1"/>
      <c r="J41" s="5">
        <f t="shared" si="25"/>
        <v>0</v>
      </c>
      <c r="K41" s="1"/>
      <c r="L41" s="1">
        <f t="shared" si="26"/>
        <v>0</v>
      </c>
      <c r="M41" s="1"/>
      <c r="N41" s="5">
        <f t="shared" si="27"/>
        <v>0</v>
      </c>
      <c r="O41" s="14"/>
      <c r="P41" s="1">
        <f>SUM(OSRRefP22_5x_0)</f>
        <v>273.77999999999997</v>
      </c>
      <c r="Q41" s="1"/>
      <c r="R41" s="5">
        <f t="shared" si="28"/>
        <v>0</v>
      </c>
      <c r="S41" s="1"/>
      <c r="T41" s="1">
        <f>SUM(OSRRefT22_5x_0)</f>
        <v>601.88</v>
      </c>
      <c r="U41" s="1"/>
      <c r="V41" s="5">
        <f t="shared" si="29"/>
        <v>0</v>
      </c>
      <c r="W41" s="1"/>
      <c r="X41" s="1">
        <f t="shared" si="30"/>
        <v>-328.1</v>
      </c>
      <c r="Y41" s="1"/>
      <c r="Z41" s="5">
        <f t="shared" si="31"/>
        <v>-0.54512527414102485</v>
      </c>
    </row>
    <row r="42" spans="1:26" s="24" customFormat="1" hidden="1" outlineLevel="2" x14ac:dyDescent="0.25">
      <c r="A42" s="28"/>
      <c r="B42" s="11" t="str">
        <f>CONCATENATE("          ", "6351", " - ", "EQUIPMENT RENTAL")</f>
        <v xml:space="preserve">          6351 - EQUIPMENT RENTAL</v>
      </c>
      <c r="C42" s="11"/>
      <c r="D42" s="7">
        <v>91.26</v>
      </c>
      <c r="E42" s="2"/>
      <c r="F42" s="6">
        <f t="shared" si="24"/>
        <v>0</v>
      </c>
      <c r="G42" s="2"/>
      <c r="H42" s="7">
        <v>91.26</v>
      </c>
      <c r="I42" s="2"/>
      <c r="J42" s="6">
        <f t="shared" si="25"/>
        <v>0</v>
      </c>
      <c r="K42" s="2"/>
      <c r="L42" s="7">
        <f t="shared" si="26"/>
        <v>0</v>
      </c>
      <c r="M42" s="2"/>
      <c r="N42" s="6">
        <f t="shared" si="27"/>
        <v>0</v>
      </c>
      <c r="O42" s="11"/>
      <c r="P42" s="7">
        <v>273.77999999999997</v>
      </c>
      <c r="Q42" s="2"/>
      <c r="R42" s="6">
        <f t="shared" si="28"/>
        <v>0</v>
      </c>
      <c r="S42" s="2"/>
      <c r="T42" s="7">
        <v>601.88</v>
      </c>
      <c r="U42" s="2"/>
      <c r="V42" s="6">
        <f t="shared" si="29"/>
        <v>0</v>
      </c>
      <c r="W42" s="2"/>
      <c r="X42" s="7">
        <f t="shared" si="30"/>
        <v>-328.1</v>
      </c>
      <c r="Y42" s="2"/>
      <c r="Z42" s="6">
        <f t="shared" si="31"/>
        <v>-0.54512527414102485</v>
      </c>
    </row>
    <row r="43" spans="1:26" s="27" customFormat="1" outlineLevel="1" collapsed="1" x14ac:dyDescent="0.25">
      <c r="A43" s="29"/>
      <c r="B43" s="14" t="str">
        <f>CONCATENATE("     ","Freight out/Postage                               ")</f>
        <v xml:space="preserve">     Freight out/Postage                               </v>
      </c>
      <c r="C43" s="14"/>
      <c r="D43" s="1">
        <f>SUM(OSRRefD22_6x_0)</f>
        <v>0</v>
      </c>
      <c r="E43" s="1"/>
      <c r="F43" s="5">
        <f t="shared" si="24"/>
        <v>0</v>
      </c>
      <c r="G43" s="1"/>
      <c r="H43" s="1">
        <f>SUM(OSRRefH22_6x_0)</f>
        <v>-5.41</v>
      </c>
      <c r="I43" s="1"/>
      <c r="J43" s="5">
        <f t="shared" si="25"/>
        <v>0</v>
      </c>
      <c r="K43" s="1"/>
      <c r="L43" s="1">
        <f t="shared" si="26"/>
        <v>5.41</v>
      </c>
      <c r="M43" s="1"/>
      <c r="N43" s="5">
        <f t="shared" si="27"/>
        <v>-1</v>
      </c>
      <c r="O43" s="14"/>
      <c r="P43" s="1">
        <f>SUM(OSRRefP22_6x_0)</f>
        <v>0</v>
      </c>
      <c r="Q43" s="1"/>
      <c r="R43" s="5">
        <f t="shared" si="28"/>
        <v>0</v>
      </c>
      <c r="S43" s="1"/>
      <c r="T43" s="1">
        <f>SUM(OSRRefT22_6x_0)</f>
        <v>-5.41</v>
      </c>
      <c r="U43" s="1"/>
      <c r="V43" s="5">
        <f t="shared" si="29"/>
        <v>0</v>
      </c>
      <c r="W43" s="1"/>
      <c r="X43" s="1">
        <f t="shared" si="30"/>
        <v>5.41</v>
      </c>
      <c r="Y43" s="1"/>
      <c r="Z43" s="5">
        <f t="shared" si="31"/>
        <v>-1</v>
      </c>
    </row>
    <row r="44" spans="1:26" s="24" customFormat="1" hidden="1" outlineLevel="2" x14ac:dyDescent="0.25">
      <c r="A44" s="28"/>
      <c r="B44" s="11" t="str">
        <f>CONCATENATE("          ", "6307", " - ", "POSTAGE")</f>
        <v xml:space="preserve">          6307 - POSTAGE</v>
      </c>
      <c r="C44" s="11"/>
      <c r="D44" s="7"/>
      <c r="E44" s="2"/>
      <c r="F44" s="6">
        <f t="shared" si="24"/>
        <v>0</v>
      </c>
      <c r="G44" s="2"/>
      <c r="H44" s="7">
        <v>-5.41</v>
      </c>
      <c r="I44" s="2"/>
      <c r="J44" s="6">
        <f t="shared" si="25"/>
        <v>0</v>
      </c>
      <c r="K44" s="2"/>
      <c r="L44" s="7">
        <f t="shared" si="26"/>
        <v>5.41</v>
      </c>
      <c r="M44" s="2"/>
      <c r="N44" s="6">
        <f t="shared" si="27"/>
        <v>-1</v>
      </c>
      <c r="O44" s="11"/>
      <c r="P44" s="7"/>
      <c r="Q44" s="2"/>
      <c r="R44" s="6">
        <f t="shared" si="28"/>
        <v>0</v>
      </c>
      <c r="S44" s="2"/>
      <c r="T44" s="7">
        <v>-5.41</v>
      </c>
      <c r="U44" s="2"/>
      <c r="V44" s="6">
        <f t="shared" si="29"/>
        <v>0</v>
      </c>
      <c r="W44" s="2"/>
      <c r="X44" s="7">
        <f t="shared" si="30"/>
        <v>5.41</v>
      </c>
      <c r="Y44" s="2"/>
      <c r="Z44" s="6">
        <f t="shared" si="31"/>
        <v>-1</v>
      </c>
    </row>
    <row r="45" spans="1:26" s="27" customFormat="1" outlineLevel="1" collapsed="1" x14ac:dyDescent="0.25">
      <c r="A45" s="29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SUM(OSRRefD22_7x_0)</f>
        <v>0</v>
      </c>
      <c r="E45" s="1"/>
      <c r="F45" s="5">
        <f t="shared" si="24"/>
        <v>0</v>
      </c>
      <c r="G45" s="1"/>
      <c r="H45" s="1">
        <f>SUM(OSRRefH22_7x_0)</f>
        <v>0</v>
      </c>
      <c r="I45" s="1"/>
      <c r="J45" s="5">
        <f t="shared" si="25"/>
        <v>0</v>
      </c>
      <c r="K45" s="1"/>
      <c r="L45" s="1">
        <f t="shared" si="26"/>
        <v>0</v>
      </c>
      <c r="M45" s="1"/>
      <c r="N45" s="5">
        <f t="shared" si="27"/>
        <v>0</v>
      </c>
      <c r="O45" s="14"/>
      <c r="P45" s="1">
        <f>SUM(OSRRefP22_7x_0)</f>
        <v>122.51</v>
      </c>
      <c r="Q45" s="1"/>
      <c r="R45" s="5">
        <f t="shared" si="28"/>
        <v>0</v>
      </c>
      <c r="S45" s="1"/>
      <c r="T45" s="1">
        <f>SUM(OSRRefT22_7x_0)</f>
        <v>0</v>
      </c>
      <c r="U45" s="1"/>
      <c r="V45" s="5">
        <f t="shared" si="29"/>
        <v>0</v>
      </c>
      <c r="W45" s="1"/>
      <c r="X45" s="1">
        <f t="shared" si="30"/>
        <v>122.51</v>
      </c>
      <c r="Y45" s="1"/>
      <c r="Z45" s="5">
        <f t="shared" si="31"/>
        <v>0</v>
      </c>
    </row>
    <row r="46" spans="1:26" s="24" customFormat="1" hidden="1" outlineLevel="2" x14ac:dyDescent="0.25">
      <c r="A46" s="28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24"/>
        <v>0</v>
      </c>
      <c r="G46" s="2"/>
      <c r="H46" s="7"/>
      <c r="I46" s="2"/>
      <c r="J46" s="6">
        <f t="shared" si="25"/>
        <v>0</v>
      </c>
      <c r="K46" s="2"/>
      <c r="L46" s="7">
        <f t="shared" si="26"/>
        <v>0</v>
      </c>
      <c r="M46" s="2"/>
      <c r="N46" s="6">
        <f t="shared" si="27"/>
        <v>0</v>
      </c>
      <c r="O46" s="11"/>
      <c r="P46" s="7">
        <v>122.51</v>
      </c>
      <c r="Q46" s="2"/>
      <c r="R46" s="6">
        <f t="shared" si="28"/>
        <v>0</v>
      </c>
      <c r="S46" s="2"/>
      <c r="T46" s="7"/>
      <c r="U46" s="2"/>
      <c r="V46" s="6">
        <f t="shared" si="29"/>
        <v>0</v>
      </c>
      <c r="W46" s="2"/>
      <c r="X46" s="7">
        <f t="shared" si="30"/>
        <v>122.51</v>
      </c>
      <c r="Y46" s="2"/>
      <c r="Z46" s="6">
        <f t="shared" si="31"/>
        <v>0</v>
      </c>
    </row>
    <row r="47" spans="1:26" s="27" customFormat="1" outlineLevel="1" collapsed="1" x14ac:dyDescent="0.25">
      <c r="A47" s="29"/>
      <c r="B47" s="14" t="str">
        <f>CONCATENATE("     ","Insurance                                         ")</f>
        <v xml:space="preserve">     Insurance                                         </v>
      </c>
      <c r="C47" s="14"/>
      <c r="D47" s="1">
        <f>SUM(OSRRefD22_8x_0)</f>
        <v>4884.6000000000004</v>
      </c>
      <c r="E47" s="1"/>
      <c r="F47" s="5">
        <f t="shared" si="24"/>
        <v>0</v>
      </c>
      <c r="G47" s="1"/>
      <c r="H47" s="1">
        <f>SUM(OSRRefH22_8x_0)</f>
        <v>3598.85</v>
      </c>
      <c r="I47" s="1"/>
      <c r="J47" s="5">
        <f t="shared" si="25"/>
        <v>0</v>
      </c>
      <c r="K47" s="1"/>
      <c r="L47" s="1">
        <f t="shared" si="26"/>
        <v>1285.7500000000005</v>
      </c>
      <c r="M47" s="1"/>
      <c r="N47" s="5">
        <f t="shared" si="27"/>
        <v>0.35726690470567002</v>
      </c>
      <c r="O47" s="14"/>
      <c r="P47" s="1">
        <f>SUM(OSRRefP22_8x_0)</f>
        <v>14653.8</v>
      </c>
      <c r="Q47" s="1"/>
      <c r="R47" s="5">
        <f t="shared" si="28"/>
        <v>0</v>
      </c>
      <c r="S47" s="1"/>
      <c r="T47" s="1">
        <f>SUM(OSRRefT22_8x_0)</f>
        <v>10796.55</v>
      </c>
      <c r="U47" s="1"/>
      <c r="V47" s="5">
        <f t="shared" si="29"/>
        <v>0</v>
      </c>
      <c r="W47" s="1"/>
      <c r="X47" s="1">
        <f t="shared" si="30"/>
        <v>3857.25</v>
      </c>
      <c r="Y47" s="1"/>
      <c r="Z47" s="5">
        <f t="shared" si="31"/>
        <v>0.35726690470566991</v>
      </c>
    </row>
    <row r="48" spans="1:26" s="24" customFormat="1" hidden="1" outlineLevel="2" x14ac:dyDescent="0.25">
      <c r="A48" s="28"/>
      <c r="B48" s="11" t="str">
        <f>CONCATENATE("          ", "6314", " - ", "LIABILITY INSURANCE")</f>
        <v xml:space="preserve">          6314 - LIABILITY INSURANCE</v>
      </c>
      <c r="C48" s="11"/>
      <c r="D48" s="7">
        <v>4884.6000000000004</v>
      </c>
      <c r="E48" s="2"/>
      <c r="F48" s="6">
        <f t="shared" si="24"/>
        <v>0</v>
      </c>
      <c r="G48" s="2"/>
      <c r="H48" s="7">
        <v>3598.85</v>
      </c>
      <c r="I48" s="2"/>
      <c r="J48" s="6">
        <f t="shared" si="25"/>
        <v>0</v>
      </c>
      <c r="K48" s="2"/>
      <c r="L48" s="7">
        <f t="shared" si="26"/>
        <v>1285.7500000000005</v>
      </c>
      <c r="M48" s="2"/>
      <c r="N48" s="6">
        <f t="shared" si="27"/>
        <v>0.35726690470567002</v>
      </c>
      <c r="O48" s="11"/>
      <c r="P48" s="7">
        <v>14653.8</v>
      </c>
      <c r="Q48" s="2"/>
      <c r="R48" s="6">
        <f t="shared" si="28"/>
        <v>0</v>
      </c>
      <c r="S48" s="2"/>
      <c r="T48" s="7">
        <v>10796.55</v>
      </c>
      <c r="U48" s="2"/>
      <c r="V48" s="6">
        <f t="shared" si="29"/>
        <v>0</v>
      </c>
      <c r="W48" s="2"/>
      <c r="X48" s="7">
        <f t="shared" si="30"/>
        <v>3857.25</v>
      </c>
      <c r="Y48" s="2"/>
      <c r="Z48" s="6">
        <f t="shared" si="31"/>
        <v>0.35726690470566991</v>
      </c>
    </row>
    <row r="49" spans="1:26" s="27" customFormat="1" outlineLevel="1" collapsed="1" x14ac:dyDescent="0.25">
      <c r="A49" s="29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SUM(OSRRefD22_9x_0)</f>
        <v>83.83</v>
      </c>
      <c r="E49" s="1"/>
      <c r="F49" s="5">
        <f t="shared" si="24"/>
        <v>0</v>
      </c>
      <c r="G49" s="1"/>
      <c r="H49" s="1">
        <f>SUM(OSRRefH22_9x_0)</f>
        <v>85.95</v>
      </c>
      <c r="I49" s="1"/>
      <c r="J49" s="5">
        <f t="shared" si="25"/>
        <v>0</v>
      </c>
      <c r="K49" s="1"/>
      <c r="L49" s="1">
        <f t="shared" si="26"/>
        <v>-2.1200000000000045</v>
      </c>
      <c r="M49" s="1"/>
      <c r="N49" s="5">
        <f t="shared" si="27"/>
        <v>-2.4665503199534665E-2</v>
      </c>
      <c r="O49" s="14"/>
      <c r="P49" s="1">
        <f>SUM(OSRRefP22_9x_0)</f>
        <v>13019.68</v>
      </c>
      <c r="Q49" s="1"/>
      <c r="R49" s="5">
        <f t="shared" si="28"/>
        <v>0</v>
      </c>
      <c r="S49" s="1"/>
      <c r="T49" s="1">
        <f>SUM(OSRRefT22_9x_0)</f>
        <v>829.32</v>
      </c>
      <c r="U49" s="1"/>
      <c r="V49" s="5">
        <f t="shared" si="29"/>
        <v>0</v>
      </c>
      <c r="W49" s="1"/>
      <c r="X49" s="1">
        <f t="shared" si="30"/>
        <v>12190.36</v>
      </c>
      <c r="Y49" s="1"/>
      <c r="Z49" s="5">
        <f t="shared" si="31"/>
        <v>14.699223460184248</v>
      </c>
    </row>
    <row r="50" spans="1:26" s="24" customFormat="1" hidden="1" outlineLevel="2" x14ac:dyDescent="0.25">
      <c r="A50" s="28"/>
      <c r="B50" s="11" t="str">
        <f>CONCATENATE("          ", "6371", " - ", "COMPUTER SOFTWARE MAINTENANCE")</f>
        <v xml:space="preserve">          6371 - COMPUTER SOFTWARE MAINTENANCE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5177.72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5177.72</v>
      </c>
      <c r="Y50" s="2"/>
      <c r="Z50" s="6">
        <f t="shared" si="31"/>
        <v>0</v>
      </c>
    </row>
    <row r="51" spans="1:26" s="24" customFormat="1" hidden="1" outlineLevel="2" x14ac:dyDescent="0.25">
      <c r="A51" s="28"/>
      <c r="B51" s="11" t="str">
        <f>CONCATENATE("          ", "6373", " - ", "MAINTENANCE CONTRACTS")</f>
        <v xml:space="preserve">          6373 - MAINTENANCE CONTRACTS</v>
      </c>
      <c r="C51" s="11"/>
      <c r="D51" s="7">
        <v>83.83</v>
      </c>
      <c r="E51" s="2"/>
      <c r="F51" s="6">
        <f t="shared" si="24"/>
        <v>0</v>
      </c>
      <c r="G51" s="2"/>
      <c r="H51" s="7">
        <v>85.95</v>
      </c>
      <c r="I51" s="2"/>
      <c r="J51" s="6">
        <f t="shared" si="25"/>
        <v>0</v>
      </c>
      <c r="K51" s="2"/>
      <c r="L51" s="7">
        <f t="shared" si="26"/>
        <v>-2.1200000000000045</v>
      </c>
      <c r="M51" s="2"/>
      <c r="N51" s="6">
        <f t="shared" si="27"/>
        <v>-2.4665503199534665E-2</v>
      </c>
      <c r="O51" s="11"/>
      <c r="P51" s="7">
        <v>84.7</v>
      </c>
      <c r="Q51" s="2"/>
      <c r="R51" s="6">
        <f t="shared" si="28"/>
        <v>0</v>
      </c>
      <c r="S51" s="2"/>
      <c r="T51" s="7">
        <v>791.86</v>
      </c>
      <c r="U51" s="2"/>
      <c r="V51" s="6">
        <f t="shared" si="29"/>
        <v>0</v>
      </c>
      <c r="W51" s="2"/>
      <c r="X51" s="7">
        <f t="shared" si="30"/>
        <v>-707.16</v>
      </c>
      <c r="Y51" s="2"/>
      <c r="Z51" s="6">
        <f t="shared" si="31"/>
        <v>-0.89303664789230419</v>
      </c>
    </row>
    <row r="52" spans="1:26" s="24" customFormat="1" hidden="1" outlineLevel="2" x14ac:dyDescent="0.25">
      <c r="A52" s="28"/>
      <c r="B52" s="11" t="str">
        <f>CONCATENATE("          ", "6375", " - ", "OUTSIDE REPAIRS &amp; MAINTENANCE")</f>
        <v xml:space="preserve">          6375 - OUTSIDE REPAIRS &amp; MAINTENANCE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>
        <v>7757.26</v>
      </c>
      <c r="Q52" s="2"/>
      <c r="R52" s="6">
        <f t="shared" si="28"/>
        <v>0</v>
      </c>
      <c r="S52" s="2"/>
      <c r="T52" s="7">
        <v>37.46</v>
      </c>
      <c r="U52" s="2"/>
      <c r="V52" s="6">
        <f t="shared" si="29"/>
        <v>0</v>
      </c>
      <c r="W52" s="2"/>
      <c r="X52" s="7">
        <f t="shared" si="30"/>
        <v>7719.8</v>
      </c>
      <c r="Y52" s="2"/>
      <c r="Z52" s="6">
        <f t="shared" si="31"/>
        <v>206.08115323011211</v>
      </c>
    </row>
    <row r="53" spans="1:26" s="27" customFormat="1" outlineLevel="1" collapsed="1" x14ac:dyDescent="0.25">
      <c r="A53" s="29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SUM(OSRRefD22_10x_0)</f>
        <v>670.1</v>
      </c>
      <c r="E53" s="1"/>
      <c r="F53" s="5">
        <f t="shared" ref="F53:F55" si="32">IF(D$12=0,0,D53/D$12)</f>
        <v>0</v>
      </c>
      <c r="G53" s="1"/>
      <c r="H53" s="1">
        <f>SUM(OSRRefH22_10x_0)</f>
        <v>0</v>
      </c>
      <c r="I53" s="1"/>
      <c r="J53" s="5">
        <f t="shared" ref="J53:J55" si="33">IF(H$12=0,0,H53/H$12)</f>
        <v>0</v>
      </c>
      <c r="K53" s="1"/>
      <c r="L53" s="1">
        <f t="shared" ref="L53:L55" si="34">+D53-H53</f>
        <v>670.1</v>
      </c>
      <c r="M53" s="1"/>
      <c r="N53" s="5">
        <f t="shared" ref="N53:N55" si="35">IF(H53=0,0,L53/H53)</f>
        <v>0</v>
      </c>
      <c r="O53" s="14"/>
      <c r="P53" s="1">
        <f>SUM(OSRRefP22_10x_0)</f>
        <v>5684.62</v>
      </c>
      <c r="Q53" s="1"/>
      <c r="R53" s="5">
        <f t="shared" ref="R53:R55" si="36">IF(P$12=0,0,P53/P$12)</f>
        <v>0</v>
      </c>
      <c r="S53" s="1"/>
      <c r="T53" s="1">
        <f>SUM(OSRRefT22_10x_0)</f>
        <v>0</v>
      </c>
      <c r="U53" s="1"/>
      <c r="V53" s="5">
        <f t="shared" ref="V53:V55" si="37">IF(T$12=0,0,T53/T$12)</f>
        <v>0</v>
      </c>
      <c r="W53" s="1"/>
      <c r="X53" s="1">
        <f t="shared" ref="X53:X55" si="38">+P53-T53</f>
        <v>5684.62</v>
      </c>
      <c r="Y53" s="1"/>
      <c r="Z53" s="5">
        <f t="shared" ref="Z53:Z55" si="39">IF(T53=0,0,X53/T53)</f>
        <v>0</v>
      </c>
    </row>
    <row r="54" spans="1:26" s="24" customFormat="1" hidden="1" outlineLevel="2" x14ac:dyDescent="0.25">
      <c r="A54" s="28"/>
      <c r="B54" s="11" t="str">
        <f>CONCATENATE("          ", "6282", " - ", "JANITORIAL/EXTERMINATOR EXPENS")</f>
        <v xml:space="preserve">          6282 - JANITORIAL/EXTERMINATOR EXPENS</v>
      </c>
      <c r="C54" s="11"/>
      <c r="D54" s="7">
        <v>670.1</v>
      </c>
      <c r="E54" s="2"/>
      <c r="F54" s="6">
        <f t="shared" si="32"/>
        <v>0</v>
      </c>
      <c r="G54" s="2"/>
      <c r="H54" s="7"/>
      <c r="I54" s="2"/>
      <c r="J54" s="6">
        <f t="shared" si="33"/>
        <v>0</v>
      </c>
      <c r="K54" s="2"/>
      <c r="L54" s="7">
        <f t="shared" si="34"/>
        <v>670.1</v>
      </c>
      <c r="M54" s="2"/>
      <c r="N54" s="6">
        <f t="shared" si="35"/>
        <v>0</v>
      </c>
      <c r="O54" s="11"/>
      <c r="P54" s="7">
        <v>2010.3</v>
      </c>
      <c r="Q54" s="2"/>
      <c r="R54" s="6">
        <f t="shared" si="36"/>
        <v>0</v>
      </c>
      <c r="S54" s="2"/>
      <c r="T54" s="7"/>
      <c r="U54" s="2"/>
      <c r="V54" s="6">
        <f t="shared" si="37"/>
        <v>0</v>
      </c>
      <c r="W54" s="2"/>
      <c r="X54" s="7">
        <f t="shared" si="38"/>
        <v>2010.3</v>
      </c>
      <c r="Y54" s="2"/>
      <c r="Z54" s="6">
        <f t="shared" si="39"/>
        <v>0</v>
      </c>
    </row>
    <row r="55" spans="1:26" s="24" customFormat="1" hidden="1" outlineLevel="2" x14ac:dyDescent="0.25">
      <c r="A55" s="28"/>
      <c r="B55" s="11" t="str">
        <f>CONCATENATE("          ", "6285", " - ", "JANITORIAL SERVICES")</f>
        <v xml:space="preserve">          6285 - JANITORIAL SERVICES</v>
      </c>
      <c r="C55" s="11"/>
      <c r="D55" s="7"/>
      <c r="E55" s="2"/>
      <c r="F55" s="6">
        <f t="shared" si="32"/>
        <v>0</v>
      </c>
      <c r="G55" s="2"/>
      <c r="H55" s="7"/>
      <c r="I55" s="2"/>
      <c r="J55" s="6">
        <f t="shared" si="33"/>
        <v>0</v>
      </c>
      <c r="K55" s="2"/>
      <c r="L55" s="7">
        <f t="shared" si="34"/>
        <v>0</v>
      </c>
      <c r="M55" s="2"/>
      <c r="N55" s="6">
        <f t="shared" si="35"/>
        <v>0</v>
      </c>
      <c r="O55" s="11"/>
      <c r="P55" s="7">
        <v>3674.32</v>
      </c>
      <c r="Q55" s="2"/>
      <c r="R55" s="6">
        <f t="shared" si="36"/>
        <v>0</v>
      </c>
      <c r="S55" s="2"/>
      <c r="T55" s="7"/>
      <c r="U55" s="2"/>
      <c r="V55" s="6">
        <f t="shared" si="37"/>
        <v>0</v>
      </c>
      <c r="W55" s="2"/>
      <c r="X55" s="7">
        <f t="shared" si="38"/>
        <v>3674.32</v>
      </c>
      <c r="Y55" s="2"/>
      <c r="Z55" s="6">
        <f t="shared" si="39"/>
        <v>0</v>
      </c>
    </row>
    <row r="56" spans="1:26" s="27" customFormat="1" outlineLevel="1" collapsed="1" x14ac:dyDescent="0.25">
      <c r="A56" s="29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SUM(OSRRefD22_11x_0)</f>
        <v>0</v>
      </c>
      <c r="E56" s="1"/>
      <c r="F56" s="5">
        <f t="shared" ref="F56:F58" si="40">IF(D$12=0,0,D56/D$12)</f>
        <v>0</v>
      </c>
      <c r="G56" s="1"/>
      <c r="H56" s="1">
        <f>SUM(OSRRefH22_11x_0)</f>
        <v>127.89</v>
      </c>
      <c r="I56" s="1"/>
      <c r="J56" s="5">
        <f t="shared" ref="J56:J58" si="41">IF(H$12=0,0,H56/H$12)</f>
        <v>0</v>
      </c>
      <c r="K56" s="1"/>
      <c r="L56" s="1">
        <f t="shared" ref="L56:L58" si="42">+D56-H56</f>
        <v>-127.89</v>
      </c>
      <c r="M56" s="1"/>
      <c r="N56" s="5">
        <f t="shared" ref="N56:N58" si="43">IF(H56=0,0,L56/H56)</f>
        <v>-1</v>
      </c>
      <c r="O56" s="14"/>
      <c r="P56" s="1">
        <f>SUM(OSRRefP22_11x_0)</f>
        <v>160.16</v>
      </c>
      <c r="Q56" s="1"/>
      <c r="R56" s="5">
        <f t="shared" ref="R56:R58" si="44">IF(P$12=0,0,P56/P$12)</f>
        <v>0</v>
      </c>
      <c r="S56" s="1"/>
      <c r="T56" s="1">
        <f>SUM(OSRRefT22_11x_0)</f>
        <v>-29072.880000000001</v>
      </c>
      <c r="U56" s="1"/>
      <c r="V56" s="5">
        <f t="shared" ref="V56:V58" si="45">IF(T$12=0,0,T56/T$12)</f>
        <v>0</v>
      </c>
      <c r="W56" s="1"/>
      <c r="X56" s="1">
        <f t="shared" ref="X56:X58" si="46">+P56-T56</f>
        <v>29233.040000000001</v>
      </c>
      <c r="Y56" s="1"/>
      <c r="Z56" s="5">
        <f t="shared" ref="Z56:Z58" si="47">IF(T56=0,0,X56/T56)</f>
        <v>-1.0055089141495441</v>
      </c>
    </row>
    <row r="57" spans="1:26" s="24" customFormat="1" hidden="1" outlineLevel="2" x14ac:dyDescent="0.25">
      <c r="A57" s="28"/>
      <c r="B57" s="11" t="str">
        <f>CONCATENATE("          ", "6235", " - ", "COVID-19 EXPENSES")</f>
        <v xml:space="preserve">          6235 - COVID-19 EXPENSES</v>
      </c>
      <c r="C57" s="11"/>
      <c r="D57" s="7"/>
      <c r="E57" s="2"/>
      <c r="F57" s="6">
        <f t="shared" si="40"/>
        <v>0</v>
      </c>
      <c r="G57" s="2"/>
      <c r="H57" s="7">
        <v>127.89</v>
      </c>
      <c r="I57" s="2"/>
      <c r="J57" s="6">
        <f t="shared" si="41"/>
        <v>0</v>
      </c>
      <c r="K57" s="2"/>
      <c r="L57" s="7">
        <f t="shared" si="42"/>
        <v>-127.89</v>
      </c>
      <c r="M57" s="2"/>
      <c r="N57" s="6">
        <f t="shared" si="43"/>
        <v>-1</v>
      </c>
      <c r="O57" s="11"/>
      <c r="P57" s="7"/>
      <c r="Q57" s="2"/>
      <c r="R57" s="6">
        <f t="shared" si="44"/>
        <v>0</v>
      </c>
      <c r="S57" s="2"/>
      <c r="T57" s="7">
        <v>127.89</v>
      </c>
      <c r="U57" s="2"/>
      <c r="V57" s="6">
        <f t="shared" si="45"/>
        <v>0</v>
      </c>
      <c r="W57" s="2"/>
      <c r="X57" s="7">
        <f t="shared" si="46"/>
        <v>-127.89</v>
      </c>
      <c r="Y57" s="2"/>
      <c r="Z57" s="6">
        <f t="shared" si="47"/>
        <v>-1</v>
      </c>
    </row>
    <row r="58" spans="1:26" s="24" customFormat="1" hidden="1" outlineLevel="2" x14ac:dyDescent="0.25">
      <c r="A58" s="28"/>
      <c r="B58" s="11" t="str">
        <f>CONCATENATE("          ", "6241", " - ", "OFFICE EXPENSE")</f>
        <v xml:space="preserve">          6241 - OFFICE EXPENSE</v>
      </c>
      <c r="C58" s="11"/>
      <c r="D58" s="7"/>
      <c r="E58" s="2"/>
      <c r="F58" s="6">
        <f t="shared" si="40"/>
        <v>0</v>
      </c>
      <c r="G58" s="2"/>
      <c r="H58" s="7"/>
      <c r="I58" s="2"/>
      <c r="J58" s="6">
        <f t="shared" si="41"/>
        <v>0</v>
      </c>
      <c r="K58" s="2"/>
      <c r="L58" s="7">
        <f t="shared" si="42"/>
        <v>0</v>
      </c>
      <c r="M58" s="2"/>
      <c r="N58" s="6">
        <f t="shared" si="43"/>
        <v>0</v>
      </c>
      <c r="O58" s="11"/>
      <c r="P58" s="7">
        <v>160.16</v>
      </c>
      <c r="Q58" s="2"/>
      <c r="R58" s="6">
        <f t="shared" si="44"/>
        <v>0</v>
      </c>
      <c r="S58" s="2"/>
      <c r="T58" s="7">
        <v>-29200.77</v>
      </c>
      <c r="U58" s="2"/>
      <c r="V58" s="6">
        <f t="shared" si="45"/>
        <v>0</v>
      </c>
      <c r="W58" s="2"/>
      <c r="X58" s="7">
        <f t="shared" si="46"/>
        <v>29360.93</v>
      </c>
      <c r="Y58" s="2"/>
      <c r="Z58" s="6">
        <f t="shared" si="47"/>
        <v>-1.0054847868737709</v>
      </c>
    </row>
    <row r="59" spans="1:26" s="27" customFormat="1" outlineLevel="1" collapsed="1" x14ac:dyDescent="0.25">
      <c r="A59" s="29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SUM(OSRRefD22_12x_0)</f>
        <v>221.95</v>
      </c>
      <c r="E59" s="1"/>
      <c r="F59" s="5">
        <f t="shared" ref="F59:F64" si="48">IF(D$12=0,0,D59/D$12)</f>
        <v>0</v>
      </c>
      <c r="G59" s="1"/>
      <c r="H59" s="1">
        <f>SUM(OSRRefH22_12x_0)</f>
        <v>100</v>
      </c>
      <c r="I59" s="1"/>
      <c r="J59" s="5">
        <f t="shared" ref="J59:J64" si="49">IF(H$12=0,0,H59/H$12)</f>
        <v>0</v>
      </c>
      <c r="K59" s="1"/>
      <c r="L59" s="1">
        <f t="shared" ref="L59:L64" si="50">+D59-H59</f>
        <v>121.94999999999999</v>
      </c>
      <c r="M59" s="1"/>
      <c r="N59" s="5">
        <f t="shared" ref="N59:N64" si="51">IF(H59=0,0,L59/H59)</f>
        <v>1.2194999999999998</v>
      </c>
      <c r="O59" s="14"/>
      <c r="P59" s="1">
        <f>SUM(OSRRefP22_12x_0)</f>
        <v>576.95000000000005</v>
      </c>
      <c r="Q59" s="1"/>
      <c r="R59" s="5">
        <f t="shared" ref="R59:R64" si="52">IF(P$12=0,0,P59/P$12)</f>
        <v>0</v>
      </c>
      <c r="S59" s="1"/>
      <c r="T59" s="1">
        <f>SUM(OSRRefT22_12x_0)</f>
        <v>879.3</v>
      </c>
      <c r="U59" s="1"/>
      <c r="V59" s="5">
        <f t="shared" ref="V59:V64" si="53">IF(T$12=0,0,T59/T$12)</f>
        <v>0</v>
      </c>
      <c r="W59" s="1"/>
      <c r="X59" s="1">
        <f t="shared" ref="X59:X64" si="54">+P59-T59</f>
        <v>-302.34999999999991</v>
      </c>
      <c r="Y59" s="1"/>
      <c r="Z59" s="5">
        <f t="shared" ref="Z59:Z64" si="55">IF(T59=0,0,X59/T59)</f>
        <v>-0.34385306493801882</v>
      </c>
    </row>
    <row r="60" spans="1:26" s="24" customFormat="1" hidden="1" outlineLevel="2" x14ac:dyDescent="0.25">
      <c r="A60" s="28"/>
      <c r="B60" s="11" t="str">
        <f>CONCATENATE("          ", "6309", " - ", "TELEPHONE")</f>
        <v xml:space="preserve">          6309 - TELEPHONE</v>
      </c>
      <c r="C60" s="11"/>
      <c r="D60" s="7">
        <v>221.95</v>
      </c>
      <c r="E60" s="2"/>
      <c r="F60" s="6">
        <f t="shared" si="48"/>
        <v>0</v>
      </c>
      <c r="G60" s="2"/>
      <c r="H60" s="7">
        <v>100</v>
      </c>
      <c r="I60" s="2"/>
      <c r="J60" s="6">
        <f t="shared" si="49"/>
        <v>0</v>
      </c>
      <c r="K60" s="2"/>
      <c r="L60" s="7">
        <f t="shared" si="50"/>
        <v>121.94999999999999</v>
      </c>
      <c r="M60" s="2"/>
      <c r="N60" s="6">
        <f t="shared" si="51"/>
        <v>1.2194999999999998</v>
      </c>
      <c r="O60" s="11"/>
      <c r="P60" s="7">
        <v>576.95000000000005</v>
      </c>
      <c r="Q60" s="2"/>
      <c r="R60" s="6">
        <f t="shared" si="52"/>
        <v>0</v>
      </c>
      <c r="S60" s="2"/>
      <c r="T60" s="7">
        <v>879.3</v>
      </c>
      <c r="U60" s="2"/>
      <c r="V60" s="6">
        <f t="shared" si="53"/>
        <v>0</v>
      </c>
      <c r="W60" s="2"/>
      <c r="X60" s="7">
        <f t="shared" si="54"/>
        <v>-302.34999999999991</v>
      </c>
      <c r="Y60" s="2"/>
      <c r="Z60" s="6">
        <f t="shared" si="55"/>
        <v>-0.34385306493801882</v>
      </c>
    </row>
    <row r="61" spans="1:26" s="27" customFormat="1" outlineLevel="1" collapsed="1" x14ac:dyDescent="0.25">
      <c r="A61" s="29"/>
      <c r="B61" s="14" t="str">
        <f>CONCATENATE("     ","Travel                                            ")</f>
        <v xml:space="preserve">     Travel                                            </v>
      </c>
      <c r="C61" s="14"/>
      <c r="D61" s="1">
        <f>SUM(OSRRefD22_13x_0)</f>
        <v>0</v>
      </c>
      <c r="E61" s="1"/>
      <c r="F61" s="5">
        <f t="shared" si="48"/>
        <v>0</v>
      </c>
      <c r="G61" s="1"/>
      <c r="H61" s="1">
        <f>SUM(OSRRefH22_13x_0)</f>
        <v>152.52000000000001</v>
      </c>
      <c r="I61" s="1"/>
      <c r="J61" s="5">
        <f t="shared" si="49"/>
        <v>0</v>
      </c>
      <c r="K61" s="1"/>
      <c r="L61" s="1">
        <f t="shared" si="50"/>
        <v>-152.52000000000001</v>
      </c>
      <c r="M61" s="1"/>
      <c r="N61" s="5">
        <f t="shared" si="51"/>
        <v>-1</v>
      </c>
      <c r="O61" s="14"/>
      <c r="P61" s="1">
        <f>SUM(OSRRefP22_13x_0)</f>
        <v>0</v>
      </c>
      <c r="Q61" s="1"/>
      <c r="R61" s="5">
        <f t="shared" si="52"/>
        <v>0</v>
      </c>
      <c r="S61" s="1"/>
      <c r="T61" s="1">
        <f>SUM(OSRRefT22_13x_0)</f>
        <v>332.21</v>
      </c>
      <c r="U61" s="1"/>
      <c r="V61" s="5">
        <f t="shared" si="53"/>
        <v>0</v>
      </c>
      <c r="W61" s="1"/>
      <c r="X61" s="1">
        <f t="shared" si="54"/>
        <v>-332.21</v>
      </c>
      <c r="Y61" s="1"/>
      <c r="Z61" s="5">
        <f t="shared" si="55"/>
        <v>-1</v>
      </c>
    </row>
    <row r="62" spans="1:26" s="24" customFormat="1" hidden="1" outlineLevel="2" x14ac:dyDescent="0.25">
      <c r="A62" s="28"/>
      <c r="B62" s="11" t="str">
        <f>CONCATENATE("          ", "6298", " - ", "VEHICLE MILEAGE")</f>
        <v xml:space="preserve">          6298 - VEHICLE MILEAGE</v>
      </c>
      <c r="C62" s="11"/>
      <c r="D62" s="7"/>
      <c r="E62" s="2"/>
      <c r="F62" s="6">
        <f t="shared" si="48"/>
        <v>0</v>
      </c>
      <c r="G62" s="2"/>
      <c r="H62" s="7">
        <v>152.52000000000001</v>
      </c>
      <c r="I62" s="2"/>
      <c r="J62" s="6">
        <f t="shared" si="49"/>
        <v>0</v>
      </c>
      <c r="K62" s="2"/>
      <c r="L62" s="7">
        <f t="shared" si="50"/>
        <v>-152.52000000000001</v>
      </c>
      <c r="M62" s="2"/>
      <c r="N62" s="6">
        <f t="shared" si="51"/>
        <v>-1</v>
      </c>
      <c r="O62" s="11"/>
      <c r="P62" s="7"/>
      <c r="Q62" s="2"/>
      <c r="R62" s="6">
        <f t="shared" si="52"/>
        <v>0</v>
      </c>
      <c r="S62" s="2"/>
      <c r="T62" s="7">
        <v>332.21</v>
      </c>
      <c r="U62" s="2"/>
      <c r="V62" s="6">
        <f t="shared" si="53"/>
        <v>0</v>
      </c>
      <c r="W62" s="2"/>
      <c r="X62" s="7">
        <f t="shared" si="54"/>
        <v>-332.21</v>
      </c>
      <c r="Y62" s="2"/>
      <c r="Z62" s="6">
        <f t="shared" si="55"/>
        <v>-1</v>
      </c>
    </row>
    <row r="63" spans="1:26" s="27" customFormat="1" outlineLevel="1" collapsed="1" x14ac:dyDescent="0.25">
      <c r="A63" s="29"/>
      <c r="B63" s="14" t="str">
        <f>CONCATENATE("     ","Utilities                                         ")</f>
        <v xml:space="preserve">     Utilities                                         </v>
      </c>
      <c r="C63" s="14"/>
      <c r="D63" s="1">
        <f>SUM(OSRRefD22_14x_0)</f>
        <v>5550</v>
      </c>
      <c r="E63" s="1"/>
      <c r="F63" s="5">
        <f t="shared" si="48"/>
        <v>0</v>
      </c>
      <c r="G63" s="1"/>
      <c r="H63" s="1">
        <f>SUM(OSRRefH22_14x_0)</f>
        <v>0</v>
      </c>
      <c r="I63" s="1"/>
      <c r="J63" s="5">
        <f t="shared" si="49"/>
        <v>0</v>
      </c>
      <c r="K63" s="1"/>
      <c r="L63" s="1">
        <f t="shared" si="50"/>
        <v>5550</v>
      </c>
      <c r="M63" s="1"/>
      <c r="N63" s="5">
        <f t="shared" si="51"/>
        <v>0</v>
      </c>
      <c r="O63" s="14"/>
      <c r="P63" s="1">
        <f>SUM(OSRRefP22_14x_0)</f>
        <v>16650</v>
      </c>
      <c r="Q63" s="1"/>
      <c r="R63" s="5">
        <f t="shared" si="52"/>
        <v>0</v>
      </c>
      <c r="S63" s="1"/>
      <c r="T63" s="1">
        <f>SUM(OSRRefT22_14x_0)</f>
        <v>0</v>
      </c>
      <c r="U63" s="1"/>
      <c r="V63" s="5">
        <f t="shared" si="53"/>
        <v>0</v>
      </c>
      <c r="W63" s="1"/>
      <c r="X63" s="1">
        <f t="shared" si="54"/>
        <v>16650</v>
      </c>
      <c r="Y63" s="1"/>
      <c r="Z63" s="5">
        <f t="shared" si="55"/>
        <v>0</v>
      </c>
    </row>
    <row r="64" spans="1:26" s="24" customFormat="1" hidden="1" outlineLevel="2" x14ac:dyDescent="0.25">
      <c r="A64" s="28"/>
      <c r="B64" s="11" t="str">
        <f>CONCATENATE("          ", "6274", " - ", "UTILITIES")</f>
        <v xml:space="preserve">          6274 - UTILITIES</v>
      </c>
      <c r="C64" s="11"/>
      <c r="D64" s="7">
        <v>5550</v>
      </c>
      <c r="E64" s="2"/>
      <c r="F64" s="6">
        <f t="shared" si="48"/>
        <v>0</v>
      </c>
      <c r="G64" s="2"/>
      <c r="H64" s="7"/>
      <c r="I64" s="2"/>
      <c r="J64" s="6">
        <f t="shared" si="49"/>
        <v>0</v>
      </c>
      <c r="K64" s="2"/>
      <c r="L64" s="7">
        <f t="shared" si="50"/>
        <v>5550</v>
      </c>
      <c r="M64" s="2"/>
      <c r="N64" s="6">
        <f t="shared" si="51"/>
        <v>0</v>
      </c>
      <c r="O64" s="11"/>
      <c r="P64" s="7">
        <v>16650</v>
      </c>
      <c r="Q64" s="2"/>
      <c r="R64" s="6">
        <f t="shared" si="52"/>
        <v>0</v>
      </c>
      <c r="S64" s="2"/>
      <c r="T64" s="7"/>
      <c r="U64" s="2"/>
      <c r="V64" s="6">
        <f t="shared" si="53"/>
        <v>0</v>
      </c>
      <c r="W64" s="2"/>
      <c r="X64" s="7">
        <f t="shared" si="54"/>
        <v>16650</v>
      </c>
      <c r="Y64" s="2"/>
      <c r="Z64" s="6">
        <f t="shared" si="55"/>
        <v>0</v>
      </c>
    </row>
    <row r="65" spans="1:26" s="54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collapsed="1" x14ac:dyDescent="0.25">
      <c r="A66" s="10"/>
      <c r="B66" s="26" t="s">
        <v>292</v>
      </c>
      <c r="C66" s="10"/>
      <c r="D66" s="4">
        <f>SUM(OSRRefD25x_0)</f>
        <v>555.08000000000004</v>
      </c>
      <c r="E66" s="4"/>
      <c r="F66" s="12">
        <f t="shared" ref="F66:F68" si="56">IF(D$12=0,0,D66/D$12)</f>
        <v>0</v>
      </c>
      <c r="G66" s="4"/>
      <c r="H66" s="4">
        <f>SUM(OSRRefH25x_0)</f>
        <v>180.85</v>
      </c>
      <c r="I66" s="4"/>
      <c r="J66" s="12">
        <f t="shared" ref="J66:J68" si="57">IF(H$12=0,0,H66/H$12)</f>
        <v>0</v>
      </c>
      <c r="K66" s="4"/>
      <c r="L66" s="4">
        <f t="shared" ref="L66:L68" si="58">+D66-H66</f>
        <v>374.23</v>
      </c>
      <c r="M66" s="4"/>
      <c r="N66" s="12">
        <f t="shared" ref="N66:N68" si="59">IF(H66=0,0,L66/H66)</f>
        <v>2.0692839369643354</v>
      </c>
      <c r="O66" s="10"/>
      <c r="P66" s="4">
        <f>SUM(OSRRefP25x_0)</f>
        <v>3011.37</v>
      </c>
      <c r="Q66" s="4"/>
      <c r="R66" s="12">
        <f t="shared" ref="R66:R68" si="60">IF(P$12=0,0,P66/P$12)</f>
        <v>0</v>
      </c>
      <c r="S66" s="4"/>
      <c r="T66" s="4">
        <f>SUM(OSRRefT25x_0)</f>
        <v>1319.69</v>
      </c>
      <c r="U66" s="4"/>
      <c r="V66" s="12">
        <f t="shared" ref="V66:V68" si="61">IF(T$12=0,0,T66/T$12)</f>
        <v>0</v>
      </c>
      <c r="W66" s="4"/>
      <c r="X66" s="4">
        <f t="shared" ref="X66:X68" si="62">+P66-T66</f>
        <v>1691.6799999999998</v>
      </c>
      <c r="Y66" s="4"/>
      <c r="Z66" s="12">
        <f t="shared" ref="Z66:Z68" si="63">IF(T66=0,0,X66/T66)</f>
        <v>1.2818768044010334</v>
      </c>
    </row>
    <row r="67" spans="1:26" s="24" customFormat="1" hidden="1" outlineLevel="1" x14ac:dyDescent="0.25">
      <c r="A67" s="44"/>
      <c r="B67" s="11" t="str">
        <f>CONCATENATE("          ", "9150", " - ", "MISC. INCOME")</f>
        <v xml:space="preserve">          9150 - MISC. INCOME</v>
      </c>
      <c r="C67" s="11"/>
      <c r="D67" s="2">
        <f>--555.08</f>
        <v>555.08000000000004</v>
      </c>
      <c r="E67" s="2"/>
      <c r="F67" s="19">
        <f t="shared" si="56"/>
        <v>0</v>
      </c>
      <c r="G67" s="2"/>
      <c r="H67" s="2">
        <f>--180.85</f>
        <v>180.85</v>
      </c>
      <c r="I67" s="2"/>
      <c r="J67" s="19">
        <f t="shared" si="57"/>
        <v>0</v>
      </c>
      <c r="K67" s="2"/>
      <c r="L67" s="2">
        <f t="shared" si="58"/>
        <v>374.23</v>
      </c>
      <c r="M67" s="2"/>
      <c r="N67" s="19">
        <f t="shared" si="59"/>
        <v>2.0692839369643354</v>
      </c>
      <c r="O67" s="11"/>
      <c r="P67" s="2">
        <f>--3011.37</f>
        <v>3011.37</v>
      </c>
      <c r="Q67" s="2"/>
      <c r="R67" s="19">
        <f t="shared" si="60"/>
        <v>0</v>
      </c>
      <c r="S67" s="2"/>
      <c r="T67" s="2">
        <f>--693.26</f>
        <v>693.26</v>
      </c>
      <c r="U67" s="2"/>
      <c r="V67" s="19">
        <f t="shared" si="61"/>
        <v>0</v>
      </c>
      <c r="W67" s="2"/>
      <c r="X67" s="2">
        <f t="shared" si="62"/>
        <v>2318.1099999999997</v>
      </c>
      <c r="Y67" s="2"/>
      <c r="Z67" s="19">
        <f t="shared" si="63"/>
        <v>3.3437815538181921</v>
      </c>
    </row>
    <row r="68" spans="1:26" s="24" customFormat="1" hidden="1" outlineLevel="1" x14ac:dyDescent="0.25">
      <c r="A68" s="44"/>
      <c r="B68" s="11" t="str">
        <f>CONCATENATE("          ", "9160", " - ", "MISC. INCOME")</f>
        <v xml:space="preserve">          9160 - MISC. INCOME</v>
      </c>
      <c r="C68" s="11"/>
      <c r="D68" s="2">
        <f>0</f>
        <v>0</v>
      </c>
      <c r="E68" s="2"/>
      <c r="F68" s="19">
        <f t="shared" si="56"/>
        <v>0</v>
      </c>
      <c r="G68" s="2"/>
      <c r="H68" s="2">
        <f>0</f>
        <v>0</v>
      </c>
      <c r="I68" s="2"/>
      <c r="J68" s="19">
        <f t="shared" si="57"/>
        <v>0</v>
      </c>
      <c r="K68" s="2"/>
      <c r="L68" s="2">
        <f t="shared" si="58"/>
        <v>0</v>
      </c>
      <c r="M68" s="2"/>
      <c r="N68" s="19">
        <f t="shared" si="59"/>
        <v>0</v>
      </c>
      <c r="O68" s="11"/>
      <c r="P68" s="2">
        <f>0</f>
        <v>0</v>
      </c>
      <c r="Q68" s="2"/>
      <c r="R68" s="19">
        <f t="shared" si="60"/>
        <v>0</v>
      </c>
      <c r="S68" s="2"/>
      <c r="T68" s="2">
        <f>--626.43</f>
        <v>626.42999999999995</v>
      </c>
      <c r="U68" s="2"/>
      <c r="V68" s="19">
        <f t="shared" si="61"/>
        <v>0</v>
      </c>
      <c r="W68" s="2"/>
      <c r="X68" s="2">
        <f t="shared" si="62"/>
        <v>-626.42999999999995</v>
      </c>
      <c r="Y68" s="2"/>
      <c r="Z68" s="19">
        <f t="shared" si="63"/>
        <v>-1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5" t="s">
        <v>276</v>
      </c>
      <c r="C70" s="25"/>
      <c r="D70" s="21">
        <f>+D16-D18+D66</f>
        <v>-43141.94999999999</v>
      </c>
      <c r="E70" s="13"/>
      <c r="F70" s="22">
        <f>IF(D$12=0,0,D70/D$12)</f>
        <v>0</v>
      </c>
      <c r="G70" s="13"/>
      <c r="H70" s="21">
        <f>+H16-H18+H66</f>
        <v>-28249.09</v>
      </c>
      <c r="I70" s="13"/>
      <c r="J70" s="22">
        <f>IF(H$12=0,0,H70/H$12)</f>
        <v>0</v>
      </c>
      <c r="K70" s="16"/>
      <c r="L70" s="21">
        <f>+D70-H70</f>
        <v>-14892.85999999999</v>
      </c>
      <c r="M70" s="16"/>
      <c r="N70" s="22">
        <f>IF(H70=0,0,L70/H70)</f>
        <v>0.52719786725873252</v>
      </c>
      <c r="O70" s="26"/>
      <c r="P70" s="21">
        <f>+P16-P18+P66</f>
        <v>-146743.91</v>
      </c>
      <c r="Q70" s="13"/>
      <c r="R70" s="22">
        <f>IF(P$12=0,0,P70/P$12)</f>
        <v>0</v>
      </c>
      <c r="S70" s="13"/>
      <c r="T70" s="21">
        <f>+T16-T18+T66</f>
        <v>-57432.46</v>
      </c>
      <c r="U70" s="13"/>
      <c r="V70" s="22">
        <f>IF(T$12=0,0,T70/T$12)</f>
        <v>0</v>
      </c>
      <c r="W70" s="16"/>
      <c r="X70" s="21">
        <f>+P70-T70</f>
        <v>-89311.450000000012</v>
      </c>
      <c r="Y70" s="16"/>
      <c r="Z70" s="22">
        <f>IF(T70=0,0,X70/T70)</f>
        <v>1.5550692065079577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127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5" t="s">
        <v>125</v>
      </c>
      <c r="C74" s="25"/>
      <c r="D74" s="33">
        <f>+D70-D72</f>
        <v>-43141.94999999999</v>
      </c>
      <c r="E74" s="13"/>
      <c r="F74" s="35">
        <f>IF(D$12=0,0,D74/D$12)</f>
        <v>0</v>
      </c>
      <c r="G74" s="13"/>
      <c r="H74" s="33">
        <f>+H70-H72</f>
        <v>-28249.09</v>
      </c>
      <c r="I74" s="13"/>
      <c r="J74" s="35">
        <f>IF(H$12=0,0,H74/H$12)</f>
        <v>0</v>
      </c>
      <c r="K74" s="16"/>
      <c r="L74" s="33">
        <f>D74-H74</f>
        <v>-14892.85999999999</v>
      </c>
      <c r="M74" s="16"/>
      <c r="N74" s="35">
        <f>IF(H74=0,0,L74/H74)</f>
        <v>0.52719786725873252</v>
      </c>
      <c r="O74" s="26"/>
      <c r="P74" s="33">
        <f>+P70-P72</f>
        <v>-146743.91</v>
      </c>
      <c r="Q74" s="13"/>
      <c r="R74" s="35">
        <f>IF(P$12=0,0,P74/P$12)</f>
        <v>0</v>
      </c>
      <c r="S74" s="13"/>
      <c r="T74" s="33">
        <f>+T70-T72</f>
        <v>-57432.46</v>
      </c>
      <c r="U74" s="13"/>
      <c r="V74" s="35">
        <f>IF(T$12=0,0,T74/T$12)</f>
        <v>0</v>
      </c>
      <c r="W74" s="16"/>
      <c r="X74" s="33">
        <f>P74-T74</f>
        <v>-89311.450000000012</v>
      </c>
      <c r="Y74" s="16"/>
      <c r="Z74" s="35">
        <f>IF(T74=0,0,X74/T74)</f>
        <v>1.5550692065079577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293</v>
      </c>
      <c r="C77" s="25"/>
      <c r="D77" s="31">
        <f>SUM(D74:D76)</f>
        <v>-43141.94999999999</v>
      </c>
      <c r="E77" s="13"/>
      <c r="F77" s="32">
        <f>IF(D$12=0,0,D77/D$12)</f>
        <v>0</v>
      </c>
      <c r="G77" s="13"/>
      <c r="H77" s="31">
        <f>SUM(H74:H76)</f>
        <v>-28249.09</v>
      </c>
      <c r="I77" s="13"/>
      <c r="J77" s="32">
        <f>IF(H$12=0,0,H77/H$12)</f>
        <v>0</v>
      </c>
      <c r="K77" s="16"/>
      <c r="L77" s="31">
        <f>+D77-H77</f>
        <v>-14892.85999999999</v>
      </c>
      <c r="M77" s="16"/>
      <c r="N77" s="32">
        <f>IF(H77=0,0,L77/H77)</f>
        <v>0.52719786725873252</v>
      </c>
      <c r="O77" s="26"/>
      <c r="P77" s="31">
        <f>SUM(P74:P76)</f>
        <v>-146743.91</v>
      </c>
      <c r="Q77" s="13"/>
      <c r="R77" s="32">
        <f>IF(P$12=0,0,P77/P$12)</f>
        <v>0</v>
      </c>
      <c r="S77" s="13"/>
      <c r="T77" s="31">
        <f>SUM(T74:T76)</f>
        <v>-57432.46</v>
      </c>
      <c r="U77" s="13"/>
      <c r="V77" s="32">
        <f>IF(T$12=0,0,T77/T$12)</f>
        <v>0</v>
      </c>
      <c r="W77" s="16"/>
      <c r="X77" s="31">
        <f>+P77-T77</f>
        <v>-89311.450000000012</v>
      </c>
      <c r="Y77" s="16"/>
      <c r="Z77" s="32">
        <f>IF(T77=0,0,X77/T77)</f>
        <v>1.5550692065079577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8">
        <v>44481.985668518515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3" t="s">
        <v>56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2"/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","412", " - ", "Chartroom")</f>
        <v>Department 412 - Chartroom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673.79</v>
      </c>
      <c r="E18" s="20"/>
      <c r="F18" s="30">
        <f t="shared" ref="F18:F28" si="0">IF(D$12=0,0,D18/D$12)</f>
        <v>0</v>
      </c>
      <c r="G18" s="20"/>
      <c r="H18" s="20">
        <f>SUM(OSRRefH22x_0)</f>
        <v>739.58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-65.790000000000077</v>
      </c>
      <c r="M18" s="4"/>
      <c r="N18" s="30">
        <f t="shared" ref="N18:N28" si="3">IF(H18=0,0,L18/H18)</f>
        <v>-8.895589388571902E-2</v>
      </c>
      <c r="O18" s="10"/>
      <c r="P18" s="20">
        <f>SUM(OSRRefP22x_0)</f>
        <v>1900.51</v>
      </c>
      <c r="Q18" s="20"/>
      <c r="R18" s="30">
        <f t="shared" ref="R18:R28" si="4">IF(P$12=0,0,P18/P$12)</f>
        <v>0</v>
      </c>
      <c r="S18" s="20"/>
      <c r="T18" s="20">
        <f>SUM(OSRRefT22x_0)</f>
        <v>2796.79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-896.28</v>
      </c>
      <c r="Y18" s="4"/>
      <c r="Z18" s="30">
        <f t="shared" ref="Z18:Z28" si="7">IF(T18=0,0,X18/T18)</f>
        <v>-0.32046739297551835</v>
      </c>
    </row>
    <row r="19" spans="1:26" s="27" customFormat="1" outlineLevel="1" collapsed="1" x14ac:dyDescent="0.25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577.36</v>
      </c>
      <c r="E19" s="1"/>
      <c r="F19" s="5">
        <f t="shared" si="0"/>
        <v>0</v>
      </c>
      <c r="G19" s="1"/>
      <c r="H19" s="1">
        <f>SUM(OSRRefH22_0x_0)</f>
        <v>690.35</v>
      </c>
      <c r="I19" s="1"/>
      <c r="J19" s="5">
        <f t="shared" si="1"/>
        <v>0</v>
      </c>
      <c r="K19" s="1"/>
      <c r="L19" s="1">
        <f t="shared" si="2"/>
        <v>-112.99000000000001</v>
      </c>
      <c r="M19" s="1"/>
      <c r="N19" s="5">
        <f t="shared" si="3"/>
        <v>-0.16367060186861737</v>
      </c>
      <c r="O19" s="14"/>
      <c r="P19" s="1">
        <f>SUM(OSRRefP22_0x_0)</f>
        <v>1732.08</v>
      </c>
      <c r="Q19" s="1"/>
      <c r="R19" s="5">
        <f t="shared" si="4"/>
        <v>0</v>
      </c>
      <c r="S19" s="1"/>
      <c r="T19" s="1">
        <f>SUM(OSRRefT22_0x_0)</f>
        <v>2071.0700000000002</v>
      </c>
      <c r="U19" s="1"/>
      <c r="V19" s="5">
        <f t="shared" si="5"/>
        <v>0</v>
      </c>
      <c r="W19" s="1"/>
      <c r="X19" s="1">
        <f t="shared" si="6"/>
        <v>-338.99000000000024</v>
      </c>
      <c r="Y19" s="1"/>
      <c r="Z19" s="5">
        <f t="shared" si="7"/>
        <v>-0.16367867817118698</v>
      </c>
    </row>
    <row r="20" spans="1:26" s="24" customFormat="1" hidden="1" outlineLevel="2" x14ac:dyDescent="0.25">
      <c r="A20" s="28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577.36</v>
      </c>
      <c r="E20" s="2"/>
      <c r="F20" s="6">
        <f t="shared" si="0"/>
        <v>0</v>
      </c>
      <c r="G20" s="2"/>
      <c r="H20" s="7">
        <v>690.35</v>
      </c>
      <c r="I20" s="2"/>
      <c r="J20" s="6">
        <f t="shared" si="1"/>
        <v>0</v>
      </c>
      <c r="K20" s="2"/>
      <c r="L20" s="7">
        <f t="shared" si="2"/>
        <v>-112.99000000000001</v>
      </c>
      <c r="M20" s="2"/>
      <c r="N20" s="6">
        <f t="shared" si="3"/>
        <v>-0.16367060186861737</v>
      </c>
      <c r="O20" s="11"/>
      <c r="P20" s="7">
        <v>1732.08</v>
      </c>
      <c r="Q20" s="2"/>
      <c r="R20" s="6">
        <f t="shared" si="4"/>
        <v>0</v>
      </c>
      <c r="S20" s="2"/>
      <c r="T20" s="7">
        <v>2071.0700000000002</v>
      </c>
      <c r="U20" s="2"/>
      <c r="V20" s="6">
        <f t="shared" si="5"/>
        <v>0</v>
      </c>
      <c r="W20" s="2"/>
      <c r="X20" s="7">
        <f t="shared" si="6"/>
        <v>-338.99000000000024</v>
      </c>
      <c r="Y20" s="2"/>
      <c r="Z20" s="6">
        <f t="shared" si="7"/>
        <v>-0.16367867817118698</v>
      </c>
    </row>
    <row r="21" spans="1:26" s="27" customFormat="1" outlineLevel="1" collapsed="1" x14ac:dyDescent="0.25">
      <c r="A21" s="29"/>
      <c r="B21" s="14" t="str">
        <f>CONCATENATE("     ","Equipment Rental                                  ")</f>
        <v xml:space="preserve">     Equipment Rental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16.239999999999998</v>
      </c>
      <c r="U21" s="1"/>
      <c r="V21" s="5">
        <f t="shared" si="5"/>
        <v>0</v>
      </c>
      <c r="W21" s="1"/>
      <c r="X21" s="1">
        <f t="shared" si="6"/>
        <v>-16.239999999999998</v>
      </c>
      <c r="Y21" s="1"/>
      <c r="Z21" s="5">
        <f t="shared" si="7"/>
        <v>-1</v>
      </c>
    </row>
    <row r="22" spans="1:26" s="24" customFormat="1" hidden="1" outlineLevel="2" x14ac:dyDescent="0.25">
      <c r="A22" s="28"/>
      <c r="B22" s="11" t="str">
        <f>CONCATENATE("          ", "6351", " - ", "EQUIPMENT RENTAL")</f>
        <v xml:space="preserve">          6351 - EQUIPMENT RENTAL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16.239999999999998</v>
      </c>
      <c r="U22" s="2"/>
      <c r="V22" s="6">
        <f t="shared" si="5"/>
        <v>0</v>
      </c>
      <c r="W22" s="2"/>
      <c r="X22" s="7">
        <f t="shared" si="6"/>
        <v>-16.239999999999998</v>
      </c>
      <c r="Y22" s="2"/>
      <c r="Z22" s="6">
        <f t="shared" si="7"/>
        <v>-1</v>
      </c>
    </row>
    <row r="23" spans="1:26" s="27" customFormat="1" outlineLevel="1" collapsed="1" x14ac:dyDescent="0.25">
      <c r="A23" s="29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60.43</v>
      </c>
      <c r="E23" s="1"/>
      <c r="F23" s="5">
        <f t="shared" si="0"/>
        <v>0</v>
      </c>
      <c r="G23" s="1"/>
      <c r="H23" s="1">
        <f>SUM(OSRRefH22_2x_0)</f>
        <v>60.6</v>
      </c>
      <c r="I23" s="1"/>
      <c r="J23" s="5">
        <f t="shared" si="1"/>
        <v>0</v>
      </c>
      <c r="K23" s="1"/>
      <c r="L23" s="1">
        <f t="shared" si="2"/>
        <v>-0.17000000000000171</v>
      </c>
      <c r="M23" s="1"/>
      <c r="N23" s="5">
        <f t="shared" si="3"/>
        <v>-2.8052805280528335E-3</v>
      </c>
      <c r="O23" s="14"/>
      <c r="P23" s="1">
        <f>SUM(OSRRefP22_2x_0)</f>
        <v>60.43</v>
      </c>
      <c r="Q23" s="1"/>
      <c r="R23" s="5">
        <f t="shared" si="4"/>
        <v>0</v>
      </c>
      <c r="S23" s="1"/>
      <c r="T23" s="1">
        <f>SUM(OSRRefT22_2x_0)</f>
        <v>217.8</v>
      </c>
      <c r="U23" s="1"/>
      <c r="V23" s="5">
        <f t="shared" si="5"/>
        <v>0</v>
      </c>
      <c r="W23" s="1"/>
      <c r="X23" s="1">
        <f t="shared" si="6"/>
        <v>-157.37</v>
      </c>
      <c r="Y23" s="1"/>
      <c r="Z23" s="5">
        <f t="shared" si="7"/>
        <v>-0.72254361799816347</v>
      </c>
    </row>
    <row r="24" spans="1:26" s="24" customFormat="1" hidden="1" outlineLevel="2" x14ac:dyDescent="0.25">
      <c r="A24" s="28"/>
      <c r="B24" s="11" t="str">
        <f>CONCATENATE("          ", "6373", " - ", "MAINTENANCE CONTRACTS")</f>
        <v xml:space="preserve">          6373 - MAINTENANCE CONTRACTS</v>
      </c>
      <c r="C24" s="11"/>
      <c r="D24" s="7">
        <v>60.43</v>
      </c>
      <c r="E24" s="2"/>
      <c r="F24" s="6">
        <f t="shared" si="0"/>
        <v>0</v>
      </c>
      <c r="G24" s="2"/>
      <c r="H24" s="7">
        <v>60.6</v>
      </c>
      <c r="I24" s="2"/>
      <c r="J24" s="6">
        <f t="shared" si="1"/>
        <v>0</v>
      </c>
      <c r="K24" s="2"/>
      <c r="L24" s="7">
        <f t="shared" si="2"/>
        <v>-0.17000000000000171</v>
      </c>
      <c r="M24" s="2"/>
      <c r="N24" s="6">
        <f t="shared" si="3"/>
        <v>-2.8052805280528335E-3</v>
      </c>
      <c r="O24" s="11"/>
      <c r="P24" s="7">
        <v>60.43</v>
      </c>
      <c r="Q24" s="2"/>
      <c r="R24" s="6">
        <f t="shared" si="4"/>
        <v>0</v>
      </c>
      <c r="S24" s="2"/>
      <c r="T24" s="7">
        <v>217.8</v>
      </c>
      <c r="U24" s="2"/>
      <c r="V24" s="6">
        <f t="shared" si="5"/>
        <v>0</v>
      </c>
      <c r="W24" s="2"/>
      <c r="X24" s="7">
        <f t="shared" si="6"/>
        <v>-157.37</v>
      </c>
      <c r="Y24" s="2"/>
      <c r="Z24" s="6">
        <f t="shared" si="7"/>
        <v>-0.72254361799816347</v>
      </c>
    </row>
    <row r="25" spans="1:26" s="27" customFormat="1" outlineLevel="1" collapsed="1" x14ac:dyDescent="0.25">
      <c r="A25" s="29"/>
      <c r="B25" s="14" t="str">
        <f>CONCATENATE("     ","Services                                          ")</f>
        <v xml:space="preserve">     Services            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320.58</v>
      </c>
      <c r="U25" s="1"/>
      <c r="V25" s="5">
        <f t="shared" si="5"/>
        <v>0</v>
      </c>
      <c r="W25" s="1"/>
      <c r="X25" s="1">
        <f t="shared" si="6"/>
        <v>-320.58</v>
      </c>
      <c r="Y25" s="1"/>
      <c r="Z25" s="5">
        <f t="shared" si="7"/>
        <v>-1</v>
      </c>
    </row>
    <row r="26" spans="1:26" s="24" customFormat="1" hidden="1" outlineLevel="2" x14ac:dyDescent="0.25">
      <c r="A26" s="28"/>
      <c r="B26" s="11" t="str">
        <f>CONCATENATE("          ", "6286", " - ", "LAUNDRY EXPENSE")</f>
        <v xml:space="preserve">          6286 - LAUNDRY EXPENSE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/>
      <c r="Q26" s="2"/>
      <c r="R26" s="6">
        <f t="shared" si="4"/>
        <v>0</v>
      </c>
      <c r="S26" s="2"/>
      <c r="T26" s="7">
        <v>320.58</v>
      </c>
      <c r="U26" s="2"/>
      <c r="V26" s="6">
        <f t="shared" si="5"/>
        <v>0</v>
      </c>
      <c r="W26" s="2"/>
      <c r="X26" s="7">
        <f t="shared" si="6"/>
        <v>-320.58</v>
      </c>
      <c r="Y26" s="2"/>
      <c r="Z26" s="6">
        <f t="shared" si="7"/>
        <v>-1</v>
      </c>
    </row>
    <row r="27" spans="1:26" s="27" customFormat="1" outlineLevel="1" collapsed="1" x14ac:dyDescent="0.25">
      <c r="A27" s="29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SUM(OSRRefD22_4x_0)</f>
        <v>36</v>
      </c>
      <c r="E27" s="1"/>
      <c r="F27" s="5">
        <f t="shared" si="0"/>
        <v>0</v>
      </c>
      <c r="G27" s="1"/>
      <c r="H27" s="1">
        <f>SUM(OSRRefH22_4x_0)</f>
        <v>-11.37</v>
      </c>
      <c r="I27" s="1"/>
      <c r="J27" s="5">
        <f t="shared" si="1"/>
        <v>0</v>
      </c>
      <c r="K27" s="1"/>
      <c r="L27" s="1">
        <f t="shared" si="2"/>
        <v>47.37</v>
      </c>
      <c r="M27" s="1"/>
      <c r="N27" s="5">
        <f t="shared" si="3"/>
        <v>-4.1662269129287601</v>
      </c>
      <c r="O27" s="14"/>
      <c r="P27" s="1">
        <f>SUM(OSRRefP22_4x_0)</f>
        <v>108</v>
      </c>
      <c r="Q27" s="1"/>
      <c r="R27" s="5">
        <f t="shared" si="4"/>
        <v>0</v>
      </c>
      <c r="S27" s="1"/>
      <c r="T27" s="1">
        <f>SUM(OSRRefT22_4x_0)</f>
        <v>171.1</v>
      </c>
      <c r="U27" s="1"/>
      <c r="V27" s="5">
        <f t="shared" si="5"/>
        <v>0</v>
      </c>
      <c r="W27" s="1"/>
      <c r="X27" s="1">
        <f t="shared" si="6"/>
        <v>-63.099999999999994</v>
      </c>
      <c r="Y27" s="1"/>
      <c r="Z27" s="5">
        <f t="shared" si="7"/>
        <v>-0.36879018118059614</v>
      </c>
    </row>
    <row r="28" spans="1:26" s="24" customFormat="1" hidden="1" outlineLevel="2" x14ac:dyDescent="0.25">
      <c r="A28" s="28"/>
      <c r="B28" s="11" t="str">
        <f>CONCATENATE("          ", "6309", " - ", "TELEPHONE")</f>
        <v xml:space="preserve">          6309 - TELEPHONE</v>
      </c>
      <c r="C28" s="11"/>
      <c r="D28" s="7">
        <v>36</v>
      </c>
      <c r="E28" s="2"/>
      <c r="F28" s="6">
        <f t="shared" si="0"/>
        <v>0</v>
      </c>
      <c r="G28" s="2"/>
      <c r="H28" s="7">
        <v>-11.37</v>
      </c>
      <c r="I28" s="2"/>
      <c r="J28" s="6">
        <f t="shared" si="1"/>
        <v>0</v>
      </c>
      <c r="K28" s="2"/>
      <c r="L28" s="7">
        <f t="shared" si="2"/>
        <v>47.37</v>
      </c>
      <c r="M28" s="2"/>
      <c r="N28" s="6">
        <f t="shared" si="3"/>
        <v>-4.1662269129287601</v>
      </c>
      <c r="O28" s="11"/>
      <c r="P28" s="7">
        <v>108</v>
      </c>
      <c r="Q28" s="2"/>
      <c r="R28" s="6">
        <f t="shared" si="4"/>
        <v>0</v>
      </c>
      <c r="S28" s="2"/>
      <c r="T28" s="7">
        <v>171.1</v>
      </c>
      <c r="U28" s="2"/>
      <c r="V28" s="6">
        <f t="shared" si="5"/>
        <v>0</v>
      </c>
      <c r="W28" s="2"/>
      <c r="X28" s="7">
        <f t="shared" si="6"/>
        <v>-63.099999999999994</v>
      </c>
      <c r="Y28" s="2"/>
      <c r="Z28" s="6">
        <f t="shared" si="7"/>
        <v>-0.36879018118059614</v>
      </c>
    </row>
    <row r="29" spans="1:26" s="54" customFormat="1" x14ac:dyDescent="0.25">
      <c r="A29" s="37"/>
      <c r="B29" s="37"/>
      <c r="C29" s="37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6" t="s">
        <v>292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5" t="s">
        <v>276</v>
      </c>
      <c r="C32" s="25"/>
      <c r="D32" s="21">
        <f>+D16-D18+D30</f>
        <v>-673.79</v>
      </c>
      <c r="E32" s="13"/>
      <c r="F32" s="22">
        <f>IF(D$12=0,0,D32/D$12)</f>
        <v>0</v>
      </c>
      <c r="G32" s="13"/>
      <c r="H32" s="21">
        <f>+H16-H18+H30</f>
        <v>-739.58</v>
      </c>
      <c r="I32" s="13"/>
      <c r="J32" s="22">
        <f>IF(H$12=0,0,H32/H$12)</f>
        <v>0</v>
      </c>
      <c r="K32" s="16"/>
      <c r="L32" s="21">
        <f>+D32-H32</f>
        <v>65.790000000000077</v>
      </c>
      <c r="M32" s="16"/>
      <c r="N32" s="22">
        <f>IF(H32=0,0,L32/H32)</f>
        <v>-8.895589388571902E-2</v>
      </c>
      <c r="O32" s="26"/>
      <c r="P32" s="21">
        <f>+P16-P18+P30</f>
        <v>-1900.51</v>
      </c>
      <c r="Q32" s="13"/>
      <c r="R32" s="22">
        <f>IF(P$12=0,0,P32/P$12)</f>
        <v>0</v>
      </c>
      <c r="S32" s="13"/>
      <c r="T32" s="21">
        <f>+T16-T18+T30</f>
        <v>-2796.79</v>
      </c>
      <c r="U32" s="13"/>
      <c r="V32" s="22">
        <f>IF(T$12=0,0,T32/T$12)</f>
        <v>0</v>
      </c>
      <c r="W32" s="16"/>
      <c r="X32" s="21">
        <f>+P32-T32</f>
        <v>896.28</v>
      </c>
      <c r="Y32" s="16"/>
      <c r="Z32" s="22">
        <f>IF(T32=0,0,X32/T32)</f>
        <v>-0.32046739297551835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125</v>
      </c>
      <c r="C36" s="25"/>
      <c r="D36" s="33">
        <f>+D32-D34</f>
        <v>-673.79</v>
      </c>
      <c r="E36" s="13"/>
      <c r="F36" s="35">
        <f>IF(D$12=0,0,D36/D$12)</f>
        <v>0</v>
      </c>
      <c r="G36" s="13"/>
      <c r="H36" s="33">
        <f>+H32-H34</f>
        <v>-739.58</v>
      </c>
      <c r="I36" s="13"/>
      <c r="J36" s="35">
        <f>IF(H$12=0,0,H36/H$12)</f>
        <v>0</v>
      </c>
      <c r="K36" s="16"/>
      <c r="L36" s="33">
        <f>D36-H36</f>
        <v>65.790000000000077</v>
      </c>
      <c r="M36" s="16"/>
      <c r="N36" s="35">
        <f>IF(H36=0,0,L36/H36)</f>
        <v>-8.895589388571902E-2</v>
      </c>
      <c r="O36" s="26"/>
      <c r="P36" s="33">
        <f>+P32-P34</f>
        <v>-1900.51</v>
      </c>
      <c r="Q36" s="13"/>
      <c r="R36" s="35">
        <f>IF(P$12=0,0,P36/P$12)</f>
        <v>0</v>
      </c>
      <c r="S36" s="13"/>
      <c r="T36" s="33">
        <f>+T32-T34</f>
        <v>-2796.79</v>
      </c>
      <c r="U36" s="13"/>
      <c r="V36" s="35">
        <f>IF(T$12=0,0,T36/T$12)</f>
        <v>0</v>
      </c>
      <c r="W36" s="16"/>
      <c r="X36" s="33">
        <f>P36-T36</f>
        <v>896.28</v>
      </c>
      <c r="Y36" s="16"/>
      <c r="Z36" s="35">
        <f>IF(T36=0,0,X36/T36)</f>
        <v>-0.32046739297551835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5" t="s">
        <v>293</v>
      </c>
      <c r="C39" s="25"/>
      <c r="D39" s="31">
        <f>SUM(D36:D38)</f>
        <v>-673.79</v>
      </c>
      <c r="E39" s="13"/>
      <c r="F39" s="32">
        <f>IF(D$12=0,0,D39/D$12)</f>
        <v>0</v>
      </c>
      <c r="G39" s="13"/>
      <c r="H39" s="31">
        <f>SUM(H36:H38)</f>
        <v>-739.58</v>
      </c>
      <c r="I39" s="13"/>
      <c r="J39" s="32">
        <f>IF(H$12=0,0,H39/H$12)</f>
        <v>0</v>
      </c>
      <c r="K39" s="16"/>
      <c r="L39" s="31">
        <f>+D39-H39</f>
        <v>65.790000000000077</v>
      </c>
      <c r="M39" s="16"/>
      <c r="N39" s="32">
        <f>IF(H39=0,0,L39/H39)</f>
        <v>-8.895589388571902E-2</v>
      </c>
      <c r="O39" s="26"/>
      <c r="P39" s="31">
        <f>SUM(P36:P38)</f>
        <v>-1900.51</v>
      </c>
      <c r="Q39" s="13"/>
      <c r="R39" s="32">
        <f>IF(P$12=0,0,P39/P$12)</f>
        <v>0</v>
      </c>
      <c r="S39" s="13"/>
      <c r="T39" s="31">
        <f>SUM(T36:T38)</f>
        <v>-2796.79</v>
      </c>
      <c r="U39" s="13"/>
      <c r="V39" s="32">
        <f>IF(T$12=0,0,T39/T$12)</f>
        <v>0</v>
      </c>
      <c r="W39" s="16"/>
      <c r="X39" s="31">
        <f>+P39-T39</f>
        <v>896.28</v>
      </c>
      <c r="Y39" s="16"/>
      <c r="Z39" s="32">
        <f>IF(T39=0,0,X39/T39)</f>
        <v>-0.32046739297551835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8">
        <v>44481.985668518515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3" t="s">
        <v>56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52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</sheetPr>
  <dimension ref="A2:Z5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","413", " - ", "Beach Walk")</f>
        <v>Department 413 - Beach Walk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223.12</v>
      </c>
      <c r="E18" s="20"/>
      <c r="F18" s="30">
        <f t="shared" ref="F18:F24" si="0">IF(D$12=0,0,D18/D$12)</f>
        <v>0</v>
      </c>
      <c r="G18" s="20"/>
      <c r="H18" s="20">
        <f>SUM(OSRRefH22x_0)</f>
        <v>223.78</v>
      </c>
      <c r="I18" s="20"/>
      <c r="J18" s="30">
        <f t="shared" ref="J18:J24" si="1">IF(H$12=0,0,H18/H$12)</f>
        <v>0</v>
      </c>
      <c r="K18" s="4"/>
      <c r="L18" s="20">
        <f t="shared" ref="L18:L24" si="2">+D18-H18</f>
        <v>-0.65999999999999659</v>
      </c>
      <c r="M18" s="4"/>
      <c r="N18" s="30">
        <f t="shared" ref="N18:N24" si="3">IF(H18=0,0,L18/H18)</f>
        <v>-2.9493252301367261E-3</v>
      </c>
      <c r="O18" s="10"/>
      <c r="P18" s="20">
        <f>SUM(OSRRefP22x_0)</f>
        <v>339.18</v>
      </c>
      <c r="Q18" s="20"/>
      <c r="R18" s="30">
        <f t="shared" ref="R18:R24" si="4">IF(P$12=0,0,P18/P$12)</f>
        <v>0</v>
      </c>
      <c r="S18" s="20"/>
      <c r="T18" s="20">
        <f>SUM(OSRRefT22x_0)</f>
        <v>4499.97</v>
      </c>
      <c r="U18" s="20"/>
      <c r="V18" s="30">
        <f t="shared" ref="V18:V24" si="5">IF(T$12=0,0,T18/T$12)</f>
        <v>0</v>
      </c>
      <c r="W18" s="4"/>
      <c r="X18" s="20">
        <f t="shared" ref="X18:X24" si="6">+P18-T18</f>
        <v>-4160.79</v>
      </c>
      <c r="Y18" s="4"/>
      <c r="Z18" s="30">
        <f t="shared" ref="Z18:Z24" si="7">IF(T18=0,0,X18/T18)</f>
        <v>-0.92462616417442778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1493.43</v>
      </c>
      <c r="U19" s="1"/>
      <c r="V19" s="5">
        <f t="shared" si="5"/>
        <v>0</v>
      </c>
      <c r="W19" s="1"/>
      <c r="X19" s="1">
        <f t="shared" si="6"/>
        <v>-1493.43</v>
      </c>
      <c r="Y19" s="1"/>
      <c r="Z19" s="5">
        <f t="shared" si="7"/>
        <v>-1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/>
      <c r="Q20" s="2"/>
      <c r="R20" s="6">
        <f t="shared" si="4"/>
        <v>0</v>
      </c>
      <c r="S20" s="2"/>
      <c r="T20" s="7">
        <v>191.51</v>
      </c>
      <c r="U20" s="2"/>
      <c r="V20" s="6">
        <f t="shared" si="5"/>
        <v>0</v>
      </c>
      <c r="W20" s="2"/>
      <c r="X20" s="7">
        <f t="shared" si="6"/>
        <v>-191.51</v>
      </c>
      <c r="Y20" s="2"/>
      <c r="Z20" s="6">
        <f t="shared" si="7"/>
        <v>-1</v>
      </c>
    </row>
    <row r="21" spans="1:26" s="24" customFormat="1" hidden="1" outlineLevel="2" x14ac:dyDescent="0.25">
      <c r="A21" s="28"/>
      <c r="B21" s="11" t="str">
        <f>CONCATENATE("          ", "6113", " - ", "GROUP INSURANCE")</f>
        <v xml:space="preserve">          6113 - GROUP INSURANCE</v>
      </c>
      <c r="C21" s="11"/>
      <c r="D21" s="7"/>
      <c r="E21" s="2"/>
      <c r="F21" s="6">
        <f t="shared" si="0"/>
        <v>0</v>
      </c>
      <c r="G21" s="2"/>
      <c r="H21" s="7"/>
      <c r="I21" s="2"/>
      <c r="J21" s="6">
        <f t="shared" si="1"/>
        <v>0</v>
      </c>
      <c r="K21" s="2"/>
      <c r="L21" s="7">
        <f t="shared" si="2"/>
        <v>0</v>
      </c>
      <c r="M21" s="2"/>
      <c r="N21" s="6">
        <f t="shared" si="3"/>
        <v>0</v>
      </c>
      <c r="O21" s="11"/>
      <c r="P21" s="7"/>
      <c r="Q21" s="2"/>
      <c r="R21" s="6">
        <f t="shared" si="4"/>
        <v>0</v>
      </c>
      <c r="S21" s="2"/>
      <c r="T21" s="7">
        <v>718.51</v>
      </c>
      <c r="U21" s="2"/>
      <c r="V21" s="6">
        <f t="shared" si="5"/>
        <v>0</v>
      </c>
      <c r="W21" s="2"/>
      <c r="X21" s="7">
        <f t="shared" si="6"/>
        <v>-718.51</v>
      </c>
      <c r="Y21" s="2"/>
      <c r="Z21" s="6">
        <f t="shared" si="7"/>
        <v>-1</v>
      </c>
    </row>
    <row r="22" spans="1:26" s="24" customFormat="1" hidden="1" outlineLevel="2" x14ac:dyDescent="0.25">
      <c r="A22" s="28"/>
      <c r="B22" s="11" t="str">
        <f>CONCATENATE("          ", "6115", " - ", "P.E.R.S.")</f>
        <v xml:space="preserve">          6115 - P.E.R.S.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377.03</v>
      </c>
      <c r="U22" s="2"/>
      <c r="V22" s="6">
        <f t="shared" si="5"/>
        <v>0</v>
      </c>
      <c r="W22" s="2"/>
      <c r="X22" s="7">
        <f t="shared" si="6"/>
        <v>-377.03</v>
      </c>
      <c r="Y22" s="2"/>
      <c r="Z22" s="6">
        <f t="shared" si="7"/>
        <v>-1</v>
      </c>
    </row>
    <row r="23" spans="1:26" s="24" customFormat="1" hidden="1" outlineLevel="2" x14ac:dyDescent="0.25">
      <c r="A23" s="28"/>
      <c r="B23" s="11" t="str">
        <f>CONCATENATE("          ", "6118", " - ", "VACATION")</f>
        <v xml:space="preserve">          6118 - VACATION</v>
      </c>
      <c r="C23" s="11"/>
      <c r="D23" s="7"/>
      <c r="E23" s="2"/>
      <c r="F23" s="6">
        <f t="shared" si="0"/>
        <v>0</v>
      </c>
      <c r="G23" s="2"/>
      <c r="H23" s="7"/>
      <c r="I23" s="2"/>
      <c r="J23" s="6">
        <f t="shared" si="1"/>
        <v>0</v>
      </c>
      <c r="K23" s="2"/>
      <c r="L23" s="7">
        <f t="shared" si="2"/>
        <v>0</v>
      </c>
      <c r="M23" s="2"/>
      <c r="N23" s="6">
        <f t="shared" si="3"/>
        <v>0</v>
      </c>
      <c r="O23" s="11"/>
      <c r="P23" s="7"/>
      <c r="Q23" s="2"/>
      <c r="R23" s="6">
        <f t="shared" si="4"/>
        <v>0</v>
      </c>
      <c r="S23" s="2"/>
      <c r="T23" s="7">
        <v>93.89</v>
      </c>
      <c r="U23" s="2"/>
      <c r="V23" s="6">
        <f t="shared" si="5"/>
        <v>0</v>
      </c>
      <c r="W23" s="2"/>
      <c r="X23" s="7">
        <f t="shared" si="6"/>
        <v>-93.89</v>
      </c>
      <c r="Y23" s="2"/>
      <c r="Z23" s="6">
        <f t="shared" si="7"/>
        <v>-1</v>
      </c>
    </row>
    <row r="24" spans="1:26" s="24" customFormat="1" hidden="1" outlineLevel="2" x14ac:dyDescent="0.25">
      <c r="A24" s="28"/>
      <c r="B24" s="11" t="str">
        <f>CONCATENATE("          ", "6119", " - ", "SICK LEAVE")</f>
        <v xml:space="preserve">          6119 - SICK LEAVE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112.49</v>
      </c>
      <c r="U24" s="2"/>
      <c r="V24" s="6">
        <f t="shared" si="5"/>
        <v>0</v>
      </c>
      <c r="W24" s="2"/>
      <c r="X24" s="7">
        <f t="shared" si="6"/>
        <v>-112.49</v>
      </c>
      <c r="Y24" s="2"/>
      <c r="Z24" s="6">
        <f t="shared" si="7"/>
        <v>-1</v>
      </c>
    </row>
    <row r="25" spans="1:26" s="27" customFormat="1" outlineLevel="1" collapsed="1" x14ac:dyDescent="0.25">
      <c r="A25" s="29"/>
      <c r="B25" s="14" t="str">
        <f>CONCATENATE("     ","*Payroll                                          ")</f>
        <v xml:space="preserve">     *Payroll                                          </v>
      </c>
      <c r="C25" s="14"/>
      <c r="D25" s="1">
        <f>SUM(OSRRefD22_1x_0)</f>
        <v>0</v>
      </c>
      <c r="E25" s="1"/>
      <c r="F25" s="5">
        <f t="shared" ref="F25:F34" si="8">IF(D$12=0,0,D25/D$12)</f>
        <v>0</v>
      </c>
      <c r="G25" s="1"/>
      <c r="H25" s="1">
        <f>SUM(OSRRefH22_1x_0)</f>
        <v>0</v>
      </c>
      <c r="I25" s="1"/>
      <c r="J25" s="5">
        <f t="shared" ref="J25:J34" si="9">IF(H$12=0,0,H25/H$12)</f>
        <v>0</v>
      </c>
      <c r="K25" s="1"/>
      <c r="L25" s="1">
        <f t="shared" ref="L25:L34" si="10">+D25-H25</f>
        <v>0</v>
      </c>
      <c r="M25" s="1"/>
      <c r="N25" s="5">
        <f t="shared" ref="N25:N34" si="11">IF(H25=0,0,L25/H25)</f>
        <v>0</v>
      </c>
      <c r="O25" s="14"/>
      <c r="P25" s="1">
        <f>SUM(OSRRefP22_1x_0)</f>
        <v>0</v>
      </c>
      <c r="Q25" s="1"/>
      <c r="R25" s="5">
        <f t="shared" ref="R25:R34" si="12">IF(P$12=0,0,P25/P$12)</f>
        <v>0</v>
      </c>
      <c r="S25" s="1"/>
      <c r="T25" s="1">
        <f>SUM(OSRRefT22_1x_0)</f>
        <v>2259.48</v>
      </c>
      <c r="U25" s="1"/>
      <c r="V25" s="5">
        <f t="shared" ref="V25:V34" si="13">IF(T$12=0,0,T25/T$12)</f>
        <v>0</v>
      </c>
      <c r="W25" s="1"/>
      <c r="X25" s="1">
        <f t="shared" ref="X25:X34" si="14">+P25-T25</f>
        <v>-2259.48</v>
      </c>
      <c r="Y25" s="1"/>
      <c r="Z25" s="5">
        <f t="shared" ref="Z25:Z34" si="15">IF(T25=0,0,X25/T25)</f>
        <v>-1</v>
      </c>
    </row>
    <row r="26" spans="1:26" s="24" customFormat="1" hidden="1" outlineLevel="2" x14ac:dyDescent="0.25">
      <c r="A26" s="28"/>
      <c r="B26" s="11" t="str">
        <f>CONCATENATE("          ", "6002", " - ", "STAFF SALARIES")</f>
        <v xml:space="preserve">          6002 - STAFF SALARIES</v>
      </c>
      <c r="C26" s="11"/>
      <c r="D26" s="7"/>
      <c r="E26" s="2"/>
      <c r="F26" s="6">
        <f t="shared" si="8"/>
        <v>0</v>
      </c>
      <c r="G26" s="2"/>
      <c r="H26" s="7"/>
      <c r="I26" s="2"/>
      <c r="J26" s="6">
        <f t="shared" si="9"/>
        <v>0</v>
      </c>
      <c r="K26" s="2"/>
      <c r="L26" s="7">
        <f t="shared" si="10"/>
        <v>0</v>
      </c>
      <c r="M26" s="2"/>
      <c r="N26" s="6">
        <f t="shared" si="11"/>
        <v>0</v>
      </c>
      <c r="O26" s="11"/>
      <c r="P26" s="7"/>
      <c r="Q26" s="2"/>
      <c r="R26" s="6">
        <f t="shared" si="12"/>
        <v>0</v>
      </c>
      <c r="S26" s="2"/>
      <c r="T26" s="7">
        <v>2259.48</v>
      </c>
      <c r="U26" s="2"/>
      <c r="V26" s="6">
        <f t="shared" si="13"/>
        <v>0</v>
      </c>
      <c r="W26" s="2"/>
      <c r="X26" s="7">
        <f t="shared" si="14"/>
        <v>-2259.48</v>
      </c>
      <c r="Y26" s="2"/>
      <c r="Z26" s="6">
        <f t="shared" si="15"/>
        <v>-1</v>
      </c>
    </row>
    <row r="27" spans="1:26" s="27" customFormat="1" outlineLevel="1" collapsed="1" x14ac:dyDescent="0.25">
      <c r="A27" s="29"/>
      <c r="B27" s="14" t="str">
        <f>CONCATENATE("     ","Depreciation                                      ")</f>
        <v xml:space="preserve">     Depreciation                                      </v>
      </c>
      <c r="C27" s="14"/>
      <c r="D27" s="1">
        <f>SUM(OSRRefD22_2x_0)</f>
        <v>58.03</v>
      </c>
      <c r="E27" s="1"/>
      <c r="F27" s="5">
        <f t="shared" si="8"/>
        <v>0</v>
      </c>
      <c r="G27" s="1"/>
      <c r="H27" s="1">
        <f>SUM(OSRRefH22_2x_0)</f>
        <v>58.03</v>
      </c>
      <c r="I27" s="1"/>
      <c r="J27" s="5">
        <f t="shared" si="9"/>
        <v>0</v>
      </c>
      <c r="K27" s="1"/>
      <c r="L27" s="1">
        <f t="shared" si="10"/>
        <v>0</v>
      </c>
      <c r="M27" s="1"/>
      <c r="N27" s="5">
        <f t="shared" si="11"/>
        <v>0</v>
      </c>
      <c r="O27" s="14"/>
      <c r="P27" s="1">
        <f>SUM(OSRRefP22_2x_0)</f>
        <v>174.09</v>
      </c>
      <c r="Q27" s="1"/>
      <c r="R27" s="5">
        <f t="shared" si="12"/>
        <v>0</v>
      </c>
      <c r="S27" s="1"/>
      <c r="T27" s="1">
        <f>SUM(OSRRefT22_2x_0)</f>
        <v>174.09</v>
      </c>
      <c r="U27" s="1"/>
      <c r="V27" s="5">
        <f t="shared" si="13"/>
        <v>0</v>
      </c>
      <c r="W27" s="1"/>
      <c r="X27" s="1">
        <f t="shared" si="14"/>
        <v>0</v>
      </c>
      <c r="Y27" s="1"/>
      <c r="Z27" s="5">
        <f t="shared" si="15"/>
        <v>0</v>
      </c>
    </row>
    <row r="28" spans="1:26" s="24" customFormat="1" hidden="1" outlineLevel="2" x14ac:dyDescent="0.25">
      <c r="A28" s="28"/>
      <c r="B28" s="11" t="str">
        <f>CONCATENATE("          ", "6322", " - ", "EQUIPMENT DEPRECIATION EXPENSE")</f>
        <v xml:space="preserve">          6322 - EQUIPMENT DEPRECIATION EXPENSE</v>
      </c>
      <c r="C28" s="11"/>
      <c r="D28" s="7">
        <v>58.03</v>
      </c>
      <c r="E28" s="2"/>
      <c r="F28" s="6">
        <f t="shared" si="8"/>
        <v>0</v>
      </c>
      <c r="G28" s="2"/>
      <c r="H28" s="7">
        <v>58.03</v>
      </c>
      <c r="I28" s="2"/>
      <c r="J28" s="6">
        <f t="shared" si="9"/>
        <v>0</v>
      </c>
      <c r="K28" s="2"/>
      <c r="L28" s="7">
        <f t="shared" si="10"/>
        <v>0</v>
      </c>
      <c r="M28" s="2"/>
      <c r="N28" s="6">
        <f t="shared" si="11"/>
        <v>0</v>
      </c>
      <c r="O28" s="11"/>
      <c r="P28" s="7">
        <v>174.09</v>
      </c>
      <c r="Q28" s="2"/>
      <c r="R28" s="6">
        <f t="shared" si="12"/>
        <v>0</v>
      </c>
      <c r="S28" s="2"/>
      <c r="T28" s="7">
        <v>174.09</v>
      </c>
      <c r="U28" s="2"/>
      <c r="V28" s="6">
        <f t="shared" si="13"/>
        <v>0</v>
      </c>
      <c r="W28" s="2"/>
      <c r="X28" s="7">
        <f t="shared" si="14"/>
        <v>0</v>
      </c>
      <c r="Y28" s="2"/>
      <c r="Z28" s="6">
        <f t="shared" si="15"/>
        <v>0</v>
      </c>
    </row>
    <row r="29" spans="1:26" s="27" customFormat="1" outlineLevel="1" collapsed="1" x14ac:dyDescent="0.25">
      <c r="A29" s="29"/>
      <c r="B29" s="14" t="str">
        <f>CONCATENATE("     ","Repair and Maintenance                            ")</f>
        <v xml:space="preserve">     Repair and Maintenance                            </v>
      </c>
      <c r="C29" s="14"/>
      <c r="D29" s="1">
        <f>SUM(OSRRefD22_3x_0)</f>
        <v>165.09</v>
      </c>
      <c r="E29" s="1"/>
      <c r="F29" s="5">
        <f t="shared" si="8"/>
        <v>0</v>
      </c>
      <c r="G29" s="1"/>
      <c r="H29" s="1">
        <f>SUM(OSRRefH22_3x_0)</f>
        <v>165.75</v>
      </c>
      <c r="I29" s="1"/>
      <c r="J29" s="5">
        <f t="shared" si="9"/>
        <v>0</v>
      </c>
      <c r="K29" s="1"/>
      <c r="L29" s="1">
        <f t="shared" si="10"/>
        <v>-0.65999999999999659</v>
      </c>
      <c r="M29" s="1"/>
      <c r="N29" s="5">
        <f t="shared" si="11"/>
        <v>-3.9819004524886672E-3</v>
      </c>
      <c r="O29" s="14"/>
      <c r="P29" s="1">
        <f>SUM(OSRRefP22_3x_0)</f>
        <v>165.09</v>
      </c>
      <c r="Q29" s="1"/>
      <c r="R29" s="5">
        <f t="shared" si="12"/>
        <v>0</v>
      </c>
      <c r="S29" s="1"/>
      <c r="T29" s="1">
        <f>SUM(OSRRefT22_3x_0)</f>
        <v>244.35</v>
      </c>
      <c r="U29" s="1"/>
      <c r="V29" s="5">
        <f t="shared" si="13"/>
        <v>0</v>
      </c>
      <c r="W29" s="1"/>
      <c r="X29" s="1">
        <f t="shared" si="14"/>
        <v>-79.259999999999991</v>
      </c>
      <c r="Y29" s="1"/>
      <c r="Z29" s="5">
        <f t="shared" si="15"/>
        <v>-0.32437077961939836</v>
      </c>
    </row>
    <row r="30" spans="1:26" s="24" customFormat="1" hidden="1" outlineLevel="2" x14ac:dyDescent="0.25">
      <c r="A30" s="28"/>
      <c r="B30" s="11" t="str">
        <f>CONCATENATE("          ", "6373", " - ", "MAINTENANCE CONTRACTS")</f>
        <v xml:space="preserve">          6373 - MAINTENANCE CONTRACTS</v>
      </c>
      <c r="C30" s="11"/>
      <c r="D30" s="7">
        <v>165.09</v>
      </c>
      <c r="E30" s="2"/>
      <c r="F30" s="6">
        <f t="shared" si="8"/>
        <v>0</v>
      </c>
      <c r="G30" s="2"/>
      <c r="H30" s="7">
        <v>165.75</v>
      </c>
      <c r="I30" s="2"/>
      <c r="J30" s="6">
        <f t="shared" si="9"/>
        <v>0</v>
      </c>
      <c r="K30" s="2"/>
      <c r="L30" s="7">
        <f t="shared" si="10"/>
        <v>-0.65999999999999659</v>
      </c>
      <c r="M30" s="2"/>
      <c r="N30" s="6">
        <f t="shared" si="11"/>
        <v>-3.9819004524886672E-3</v>
      </c>
      <c r="O30" s="11"/>
      <c r="P30" s="7">
        <v>165.09</v>
      </c>
      <c r="Q30" s="2"/>
      <c r="R30" s="6">
        <f t="shared" si="12"/>
        <v>0</v>
      </c>
      <c r="S30" s="2"/>
      <c r="T30" s="7">
        <v>244.35</v>
      </c>
      <c r="U30" s="2"/>
      <c r="V30" s="6">
        <f t="shared" si="13"/>
        <v>0</v>
      </c>
      <c r="W30" s="2"/>
      <c r="X30" s="7">
        <f t="shared" si="14"/>
        <v>-79.259999999999991</v>
      </c>
      <c r="Y30" s="2"/>
      <c r="Z30" s="6">
        <f t="shared" si="15"/>
        <v>-0.32437077961939836</v>
      </c>
    </row>
    <row r="31" spans="1:26" s="27" customFormat="1" outlineLevel="1" collapsed="1" x14ac:dyDescent="0.25">
      <c r="A31" s="29"/>
      <c r="B31" s="14" t="str">
        <f>CONCATENATE("     ","Services                                          ")</f>
        <v xml:space="preserve">     Services                                          </v>
      </c>
      <c r="C31" s="14"/>
      <c r="D31" s="1">
        <f>SUM(OSRRefD22_4x_0)</f>
        <v>0</v>
      </c>
      <c r="E31" s="1"/>
      <c r="F31" s="5">
        <f t="shared" si="8"/>
        <v>0</v>
      </c>
      <c r="G31" s="1"/>
      <c r="H31" s="1">
        <f>SUM(OSRRefH22_4x_0)</f>
        <v>0</v>
      </c>
      <c r="I31" s="1"/>
      <c r="J31" s="5">
        <f t="shared" si="9"/>
        <v>0</v>
      </c>
      <c r="K31" s="1"/>
      <c r="L31" s="1">
        <f t="shared" si="10"/>
        <v>0</v>
      </c>
      <c r="M31" s="1"/>
      <c r="N31" s="5">
        <f t="shared" si="11"/>
        <v>0</v>
      </c>
      <c r="O31" s="14"/>
      <c r="P31" s="1">
        <f>SUM(OSRRefP22_4x_0)</f>
        <v>0</v>
      </c>
      <c r="Q31" s="1"/>
      <c r="R31" s="5">
        <f t="shared" si="12"/>
        <v>0</v>
      </c>
      <c r="S31" s="1"/>
      <c r="T31" s="1">
        <f>SUM(OSRRefT22_4x_0)</f>
        <v>286.62</v>
      </c>
      <c r="U31" s="1"/>
      <c r="V31" s="5">
        <f t="shared" si="13"/>
        <v>0</v>
      </c>
      <c r="W31" s="1"/>
      <c r="X31" s="1">
        <f t="shared" si="14"/>
        <v>-286.62</v>
      </c>
      <c r="Y31" s="1"/>
      <c r="Z31" s="5">
        <f t="shared" si="15"/>
        <v>-1</v>
      </c>
    </row>
    <row r="32" spans="1:26" s="24" customFormat="1" hidden="1" outlineLevel="2" x14ac:dyDescent="0.25">
      <c r="A32" s="28"/>
      <c r="B32" s="11" t="str">
        <f>CONCATENATE("          ", "6282", " - ", "JANITORIAL/EXTERMINATOR EXPENS")</f>
        <v xml:space="preserve">          6282 - JANITORIAL/EXTERMINATOR EXPENS</v>
      </c>
      <c r="C32" s="11"/>
      <c r="D32" s="7"/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286.62</v>
      </c>
      <c r="U32" s="2"/>
      <c r="V32" s="6">
        <f t="shared" si="13"/>
        <v>0</v>
      </c>
      <c r="W32" s="2"/>
      <c r="X32" s="7">
        <f t="shared" si="14"/>
        <v>-286.62</v>
      </c>
      <c r="Y32" s="2"/>
      <c r="Z32" s="6">
        <f t="shared" si="15"/>
        <v>-1</v>
      </c>
    </row>
    <row r="33" spans="1:26" s="27" customFormat="1" outlineLevel="1" collapsed="1" x14ac:dyDescent="0.25">
      <c r="A33" s="29"/>
      <c r="B33" s="14" t="str">
        <f>CONCATENATE("     ","Telephone/Data Lines                              ")</f>
        <v xml:space="preserve">     Telephone/Data Lines                              </v>
      </c>
      <c r="C33" s="14"/>
      <c r="D33" s="1">
        <f>SUM(OSRRefD22_5x_0)</f>
        <v>0</v>
      </c>
      <c r="E33" s="1"/>
      <c r="F33" s="5">
        <f t="shared" si="8"/>
        <v>0</v>
      </c>
      <c r="G33" s="1"/>
      <c r="H33" s="1">
        <f>SUM(OSRRefH22_5x_0)</f>
        <v>0</v>
      </c>
      <c r="I33" s="1"/>
      <c r="J33" s="5">
        <f t="shared" si="9"/>
        <v>0</v>
      </c>
      <c r="K33" s="1"/>
      <c r="L33" s="1">
        <f t="shared" si="10"/>
        <v>0</v>
      </c>
      <c r="M33" s="1"/>
      <c r="N33" s="5">
        <f t="shared" si="11"/>
        <v>0</v>
      </c>
      <c r="O33" s="14"/>
      <c r="P33" s="1">
        <f>SUM(OSRRefP22_5x_0)</f>
        <v>0</v>
      </c>
      <c r="Q33" s="1"/>
      <c r="R33" s="5">
        <f t="shared" si="12"/>
        <v>0</v>
      </c>
      <c r="S33" s="1"/>
      <c r="T33" s="1">
        <f>SUM(OSRRefT22_5x_0)</f>
        <v>42</v>
      </c>
      <c r="U33" s="1"/>
      <c r="V33" s="5">
        <f t="shared" si="13"/>
        <v>0</v>
      </c>
      <c r="W33" s="1"/>
      <c r="X33" s="1">
        <f t="shared" si="14"/>
        <v>-42</v>
      </c>
      <c r="Y33" s="1"/>
      <c r="Z33" s="5">
        <f t="shared" si="15"/>
        <v>-1</v>
      </c>
    </row>
    <row r="34" spans="1:26" s="24" customFormat="1" hidden="1" outlineLevel="2" x14ac:dyDescent="0.25">
      <c r="A34" s="28"/>
      <c r="B34" s="11" t="str">
        <f>CONCATENATE("          ", "6309", " - ", "TELEPHONE")</f>
        <v xml:space="preserve">          6309 - TELEPHONE</v>
      </c>
      <c r="C34" s="11"/>
      <c r="D34" s="7"/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42</v>
      </c>
      <c r="U34" s="2"/>
      <c r="V34" s="6">
        <f t="shared" si="13"/>
        <v>0</v>
      </c>
      <c r="W34" s="2"/>
      <c r="X34" s="7">
        <f t="shared" si="14"/>
        <v>-42</v>
      </c>
      <c r="Y34" s="2"/>
      <c r="Z34" s="6">
        <f t="shared" si="15"/>
        <v>-1</v>
      </c>
    </row>
    <row r="35" spans="1:26" s="54" customFormat="1" x14ac:dyDescent="0.25">
      <c r="A35" s="37"/>
      <c r="B35" s="37"/>
      <c r="C35" s="37"/>
      <c r="D35" s="1"/>
      <c r="E35" s="1"/>
      <c r="F35" s="5"/>
      <c r="G35" s="1"/>
      <c r="H35" s="1"/>
      <c r="I35" s="1"/>
      <c r="J35" s="5"/>
      <c r="K35" s="1"/>
      <c r="L35" s="1"/>
      <c r="M35" s="1"/>
      <c r="N35" s="5"/>
      <c r="O35" s="37"/>
      <c r="P35" s="1"/>
      <c r="Q35" s="1"/>
      <c r="R35" s="5"/>
      <c r="S35" s="1"/>
      <c r="T35" s="1"/>
      <c r="U35" s="1"/>
      <c r="V35" s="5"/>
      <c r="W35" s="1"/>
      <c r="X35" s="1"/>
      <c r="Y35" s="1"/>
      <c r="Z35" s="5"/>
    </row>
    <row r="36" spans="1:26" s="23" customFormat="1" x14ac:dyDescent="0.25">
      <c r="A36" s="10"/>
      <c r="B36" s="26" t="s">
        <v>292</v>
      </c>
      <c r="C36" s="10"/>
      <c r="D36" s="4">
        <f>SUM(0)</f>
        <v>0</v>
      </c>
      <c r="E36" s="4"/>
      <c r="F36" s="12">
        <f>IF(D$12=0,0,D36/D$12)</f>
        <v>0</v>
      </c>
      <c r="G36" s="4"/>
      <c r="H36" s="4">
        <f>SUM(0)</f>
        <v>0</v>
      </c>
      <c r="I36" s="4"/>
      <c r="J36" s="12">
        <f>IF(H$12=0,0,H36/H$12)</f>
        <v>0</v>
      </c>
      <c r="K36" s="4"/>
      <c r="L36" s="4">
        <f>+D36-H36</f>
        <v>0</v>
      </c>
      <c r="M36" s="4"/>
      <c r="N36" s="12">
        <f>IF(H36=0,0,L36/H36)</f>
        <v>0</v>
      </c>
      <c r="O36" s="10"/>
      <c r="P36" s="4">
        <f>SUM(0)</f>
        <v>0</v>
      </c>
      <c r="Q36" s="4"/>
      <c r="R36" s="12">
        <f>IF(P$12=0,0,P36/P$12)</f>
        <v>0</v>
      </c>
      <c r="S36" s="4"/>
      <c r="T36" s="4">
        <f>SUM(0)</f>
        <v>0</v>
      </c>
      <c r="U36" s="4"/>
      <c r="V36" s="12">
        <f>IF(T$12=0,0,T36/T$12)</f>
        <v>0</v>
      </c>
      <c r="W36" s="4"/>
      <c r="X36" s="4">
        <f>+P36-T36</f>
        <v>0</v>
      </c>
      <c r="Y36" s="4"/>
      <c r="Z36" s="12">
        <f>IF(T36=0,0,X36/T36)</f>
        <v>0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10"/>
      <c r="B38" s="25" t="s">
        <v>276</v>
      </c>
      <c r="C38" s="25"/>
      <c r="D38" s="21">
        <f>+D16-D18+D36</f>
        <v>-223.12</v>
      </c>
      <c r="E38" s="13"/>
      <c r="F38" s="22">
        <f>IF(D$12=0,0,D38/D$12)</f>
        <v>0</v>
      </c>
      <c r="G38" s="13"/>
      <c r="H38" s="21">
        <f>+H16-H18+H36</f>
        <v>-223.78</v>
      </c>
      <c r="I38" s="13"/>
      <c r="J38" s="22">
        <f>IF(H$12=0,0,H38/H$12)</f>
        <v>0</v>
      </c>
      <c r="K38" s="16"/>
      <c r="L38" s="21">
        <f>+D38-H38</f>
        <v>0.65999999999999659</v>
      </c>
      <c r="M38" s="16"/>
      <c r="N38" s="22">
        <f>IF(H38=0,0,L38/H38)</f>
        <v>-2.9493252301367261E-3</v>
      </c>
      <c r="O38" s="26"/>
      <c r="P38" s="21">
        <f>+P16-P18+P36</f>
        <v>-339.18</v>
      </c>
      <c r="Q38" s="13"/>
      <c r="R38" s="22">
        <f>IF(P$12=0,0,P38/P$12)</f>
        <v>0</v>
      </c>
      <c r="S38" s="13"/>
      <c r="T38" s="21">
        <f>+T16-T18+T36</f>
        <v>-4499.97</v>
      </c>
      <c r="U38" s="13"/>
      <c r="V38" s="22">
        <f>IF(T$12=0,0,T38/T$12)</f>
        <v>0</v>
      </c>
      <c r="W38" s="16"/>
      <c r="X38" s="21">
        <f>+P38-T38</f>
        <v>4160.79</v>
      </c>
      <c r="Y38" s="16"/>
      <c r="Z38" s="22">
        <f>IF(T38=0,0,X38/T38)</f>
        <v>-0.92462616417442778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25">
      <c r="A40" s="51"/>
      <c r="B40" s="10" t="s">
        <v>127</v>
      </c>
      <c r="C40" s="10"/>
      <c r="D40" s="4"/>
      <c r="E40" s="4"/>
      <c r="F40" s="12">
        <f>IF(D$12=0,0,D40/D$12)</f>
        <v>0</v>
      </c>
      <c r="G40" s="4"/>
      <c r="H40" s="4"/>
      <c r="I40" s="4"/>
      <c r="J40" s="12">
        <f>IF(H$12=0,0,H40/H$12)</f>
        <v>0</v>
      </c>
      <c r="K40" s="4"/>
      <c r="L40" s="4">
        <f>+D40-H40</f>
        <v>0</v>
      </c>
      <c r="M40" s="4"/>
      <c r="N40" s="12">
        <f>IF(H40=0,0,L40/H40)</f>
        <v>0</v>
      </c>
      <c r="O40" s="10"/>
      <c r="P40" s="4"/>
      <c r="Q40" s="4"/>
      <c r="R40" s="12">
        <f>IF(P$12=0,0,P40/P$12)</f>
        <v>0</v>
      </c>
      <c r="S40" s="4"/>
      <c r="T40" s="4"/>
      <c r="U40" s="4"/>
      <c r="V40" s="12">
        <f>IF(T$12=0,0,T40/T$12)</f>
        <v>0</v>
      </c>
      <c r="W40" s="4"/>
      <c r="X40" s="4">
        <f>+P40-T40</f>
        <v>0</v>
      </c>
      <c r="Y40" s="4"/>
      <c r="Z40" s="12">
        <f>IF(T40=0,0,X40/T40)</f>
        <v>0</v>
      </c>
    </row>
    <row r="41" spans="1:26" x14ac:dyDescent="0.25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.75" thickBot="1" x14ac:dyDescent="0.3">
      <c r="A42" s="10"/>
      <c r="B42" s="25" t="s">
        <v>125</v>
      </c>
      <c r="C42" s="25"/>
      <c r="D42" s="33">
        <f>+D38-D40</f>
        <v>-223.12</v>
      </c>
      <c r="E42" s="13"/>
      <c r="F42" s="35">
        <f>IF(D$12=0,0,D42/D$12)</f>
        <v>0</v>
      </c>
      <c r="G42" s="13"/>
      <c r="H42" s="33">
        <f>+H38-H40</f>
        <v>-223.78</v>
      </c>
      <c r="I42" s="13"/>
      <c r="J42" s="35">
        <f>IF(H$12=0,0,H42/H$12)</f>
        <v>0</v>
      </c>
      <c r="K42" s="16"/>
      <c r="L42" s="33">
        <f>D42-H42</f>
        <v>0.65999999999999659</v>
      </c>
      <c r="M42" s="16"/>
      <c r="N42" s="35">
        <f>IF(H42=0,0,L42/H42)</f>
        <v>-2.9493252301367261E-3</v>
      </c>
      <c r="O42" s="26"/>
      <c r="P42" s="33">
        <f>+P38-P40</f>
        <v>-339.18</v>
      </c>
      <c r="Q42" s="13"/>
      <c r="R42" s="35">
        <f>IF(P$12=0,0,P42/P$12)</f>
        <v>0</v>
      </c>
      <c r="S42" s="13"/>
      <c r="T42" s="33">
        <f>+T38-T40</f>
        <v>-4499.97</v>
      </c>
      <c r="U42" s="13"/>
      <c r="V42" s="35">
        <f>IF(T$12=0,0,T42/T$12)</f>
        <v>0</v>
      </c>
      <c r="W42" s="16"/>
      <c r="X42" s="33">
        <f>P42-T42</f>
        <v>4160.79</v>
      </c>
      <c r="Y42" s="16"/>
      <c r="Z42" s="35">
        <f>IF(T42=0,0,X42/T42)</f>
        <v>-0.92462616417442778</v>
      </c>
    </row>
    <row r="43" spans="1:26" ht="15.75" thickTop="1" x14ac:dyDescent="0.25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x14ac:dyDescent="0.25">
      <c r="A44" s="9"/>
      <c r="B44" s="9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ht="15.75" thickBot="1" x14ac:dyDescent="0.3">
      <c r="A45" s="10"/>
      <c r="B45" s="25" t="s">
        <v>293</v>
      </c>
      <c r="C45" s="25"/>
      <c r="D45" s="31">
        <f>SUM(D42:D44)</f>
        <v>-223.12</v>
      </c>
      <c r="E45" s="13"/>
      <c r="F45" s="32">
        <f>IF(D$12=0,0,D45/D$12)</f>
        <v>0</v>
      </c>
      <c r="G45" s="13"/>
      <c r="H45" s="31">
        <f>SUM(H42:H44)</f>
        <v>-223.78</v>
      </c>
      <c r="I45" s="13"/>
      <c r="J45" s="32">
        <f>IF(H$12=0,0,H45/H$12)</f>
        <v>0</v>
      </c>
      <c r="K45" s="16"/>
      <c r="L45" s="31">
        <f>+D45-H45</f>
        <v>0.65999999999999659</v>
      </c>
      <c r="M45" s="16"/>
      <c r="N45" s="32">
        <f>IF(H45=0,0,L45/H45)</f>
        <v>-2.9493252301367261E-3</v>
      </c>
      <c r="O45" s="26"/>
      <c r="P45" s="31">
        <f>SUM(P42:P44)</f>
        <v>-339.18</v>
      </c>
      <c r="Q45" s="13"/>
      <c r="R45" s="32">
        <f>IF(P$12=0,0,P45/P$12)</f>
        <v>0</v>
      </c>
      <c r="S45" s="13"/>
      <c r="T45" s="31">
        <f>SUM(T42:T44)</f>
        <v>-4499.97</v>
      </c>
      <c r="U45" s="13"/>
      <c r="V45" s="32">
        <f>IF(T$12=0,0,T45/T$12)</f>
        <v>0</v>
      </c>
      <c r="W45" s="16"/>
      <c r="X45" s="31">
        <f>+P45-T45</f>
        <v>4160.79</v>
      </c>
      <c r="Y45" s="16"/>
      <c r="Z45" s="32">
        <f>IF(T45=0,0,X45/T45)</f>
        <v>-0.92462616417442778</v>
      </c>
    </row>
    <row r="46" spans="1:26" ht="15.75" thickTop="1" x14ac:dyDescent="0.25">
      <c r="A46" s="9"/>
      <c r="C46" s="9"/>
      <c r="D46" s="18"/>
      <c r="E46" s="18"/>
      <c r="G46" s="18"/>
      <c r="H46" s="18"/>
      <c r="I46" s="18"/>
      <c r="J46" s="42"/>
      <c r="K46" s="18"/>
      <c r="L46" s="18"/>
      <c r="M46" s="18"/>
      <c r="P46" s="18"/>
      <c r="Q46" s="18"/>
      <c r="R46" s="42"/>
      <c r="S46" s="18"/>
      <c r="T46" s="18"/>
      <c r="U46" s="18"/>
      <c r="V46" s="42"/>
      <c r="W46" s="18"/>
      <c r="X46" s="18"/>
    </row>
    <row r="47" spans="1:26" x14ac:dyDescent="0.25">
      <c r="A47" s="9"/>
      <c r="B47" s="58">
        <v>44481.985668518515</v>
      </c>
      <c r="D47" s="18"/>
      <c r="E47" s="18"/>
      <c r="G47" s="18"/>
      <c r="H47" s="18"/>
      <c r="I47" s="18"/>
      <c r="J47" s="42"/>
      <c r="K47" s="18"/>
      <c r="L47" s="18"/>
      <c r="M47" s="18"/>
      <c r="P47" s="18"/>
      <c r="Q47" s="18"/>
      <c r="R47" s="42"/>
      <c r="S47" s="18"/>
      <c r="T47" s="18"/>
      <c r="U47" s="18"/>
      <c r="V47" s="42"/>
      <c r="W47" s="18"/>
      <c r="X47" s="18"/>
    </row>
    <row r="48" spans="1:26" x14ac:dyDescent="0.25">
      <c r="A48" s="9"/>
      <c r="B48" s="53" t="s">
        <v>56</v>
      </c>
      <c r="D48" s="18"/>
      <c r="E48" s="18"/>
      <c r="G48" s="18"/>
      <c r="H48" s="18"/>
      <c r="I48" s="18"/>
      <c r="J48" s="42"/>
      <c r="K48" s="18"/>
      <c r="L48" s="18"/>
      <c r="M48" s="18"/>
      <c r="P48" s="18"/>
      <c r="Q48" s="18"/>
      <c r="R48" s="42"/>
      <c r="S48" s="18"/>
      <c r="T48" s="18"/>
      <c r="U48" s="18"/>
      <c r="V48" s="42"/>
      <c r="W48" s="18"/>
      <c r="X48" s="18"/>
    </row>
    <row r="49" spans="1:24" x14ac:dyDescent="0.25">
      <c r="A49" s="9"/>
      <c r="B49" s="52"/>
      <c r="D49" s="18"/>
      <c r="E49" s="18"/>
      <c r="G49" s="18"/>
      <c r="H49" s="18"/>
      <c r="I49" s="18"/>
      <c r="J49" s="42"/>
      <c r="K49" s="18"/>
      <c r="L49" s="18"/>
      <c r="M49" s="18"/>
      <c r="P49" s="18"/>
      <c r="Q49" s="18"/>
      <c r="R49" s="42"/>
      <c r="S49" s="18"/>
      <c r="T49" s="18"/>
      <c r="U49" s="18"/>
      <c r="V49" s="42"/>
      <c r="W49" s="18"/>
      <c r="X49" s="18"/>
    </row>
    <row r="50" spans="1:24" x14ac:dyDescent="0.25">
      <c r="D50" s="18"/>
      <c r="E50" s="18"/>
      <c r="G50" s="18"/>
      <c r="H50" s="18"/>
      <c r="I50" s="18"/>
      <c r="J50" s="42"/>
      <c r="K50" s="18"/>
      <c r="L50" s="18"/>
      <c r="M50" s="18"/>
      <c r="P50" s="18"/>
      <c r="Q50" s="18"/>
      <c r="R50" s="42"/>
      <c r="S50" s="18"/>
      <c r="T50" s="18"/>
      <c r="U50" s="18"/>
      <c r="V50" s="42"/>
      <c r="W50" s="18"/>
      <c r="X50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217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</sheetPr>
  <dimension ref="A2:Z4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","414", " - ", "Starbucks UDP")</f>
        <v>Department 414 - Starbucks UDP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974.91</v>
      </c>
      <c r="U12" s="4"/>
      <c r="V12" s="12"/>
      <c r="W12" s="4"/>
      <c r="X12" s="4">
        <f t="shared" ref="X12:X13" si="2">+P12-T12</f>
        <v>-974.91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--974.91</f>
        <v>974.91</v>
      </c>
      <c r="U13" s="2"/>
      <c r="V13" s="19"/>
      <c r="W13" s="2"/>
      <c r="X13" s="2">
        <f t="shared" si="2"/>
        <v>-974.91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107</v>
      </c>
      <c r="C17" s="25"/>
      <c r="D17" s="21">
        <f>D12-D15</f>
        <v>0</v>
      </c>
      <c r="E17" s="13"/>
      <c r="F17" s="22">
        <f>IF(D$12=0,0,D17/D$12)</f>
        <v>0</v>
      </c>
      <c r="G17" s="13"/>
      <c r="H17" s="21">
        <f>H12-H15</f>
        <v>0</v>
      </c>
      <c r="I17" s="13"/>
      <c r="J17" s="22">
        <f>IF(H$12=0,0,H17/H$12)</f>
        <v>0</v>
      </c>
      <c r="K17" s="16"/>
      <c r="L17" s="21">
        <f>+D17-H17</f>
        <v>0</v>
      </c>
      <c r="M17" s="16"/>
      <c r="N17" s="22">
        <f>IF(H17=0,0,L17/H17)</f>
        <v>0</v>
      </c>
      <c r="O17" s="26"/>
      <c r="P17" s="21">
        <f>P12-P15</f>
        <v>0</v>
      </c>
      <c r="Q17" s="13"/>
      <c r="R17" s="22">
        <f>IF(P$12=0,0,P17/P$12)</f>
        <v>0</v>
      </c>
      <c r="S17" s="13"/>
      <c r="T17" s="21">
        <f>T12-T15</f>
        <v>974.91</v>
      </c>
      <c r="U17" s="13"/>
      <c r="V17" s="22">
        <f>IF(T$12=0,0,T17/T$12)</f>
        <v>1</v>
      </c>
      <c r="W17" s="16"/>
      <c r="X17" s="21">
        <f>+P17-T17</f>
        <v>-974.91</v>
      </c>
      <c r="Y17" s="16"/>
      <c r="Z17" s="22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294</v>
      </c>
      <c r="C19" s="10"/>
      <c r="D19" s="20">
        <f>SUM(OSRRefD22x_0)</f>
        <v>129.16999999999999</v>
      </c>
      <c r="E19" s="20"/>
      <c r="F19" s="30">
        <f t="shared" ref="F19:F30" si="4">IF(D$12=0,0,D19/D$12)</f>
        <v>0</v>
      </c>
      <c r="G19" s="20"/>
      <c r="H19" s="20">
        <f>SUM(OSRRefH22x_0)</f>
        <v>2251.14</v>
      </c>
      <c r="I19" s="20"/>
      <c r="J19" s="30">
        <f t="shared" ref="J19:J30" si="5">IF(H$12=0,0,H19/H$12)</f>
        <v>0</v>
      </c>
      <c r="K19" s="4"/>
      <c r="L19" s="20">
        <f t="shared" ref="L19:L30" si="6">+D19-H19</f>
        <v>-2121.9699999999998</v>
      </c>
      <c r="M19" s="4"/>
      <c r="N19" s="30">
        <f t="shared" ref="N19:N30" si="7">IF(H19=0,0,L19/H19)</f>
        <v>-0.94262018355144506</v>
      </c>
      <c r="O19" s="10"/>
      <c r="P19" s="20">
        <f>SUM(OSRRefP22x_0)</f>
        <v>129.16999999999999</v>
      </c>
      <c r="Q19" s="20"/>
      <c r="R19" s="30">
        <f t="shared" ref="R19:R30" si="8">IF(P$12=0,0,P19/P$12)</f>
        <v>0</v>
      </c>
      <c r="S19" s="20"/>
      <c r="T19" s="20">
        <f>SUM(OSRRefT22x_0)</f>
        <v>6797.54</v>
      </c>
      <c r="U19" s="20"/>
      <c r="V19" s="30">
        <f t="shared" ref="V19:V30" si="9">IF(T$12=0,0,T19/T$12)</f>
        <v>6.9724795109292144</v>
      </c>
      <c r="W19" s="4"/>
      <c r="X19" s="20">
        <f t="shared" ref="X19:X30" si="10">+P19-T19</f>
        <v>-6668.37</v>
      </c>
      <c r="Y19" s="4"/>
      <c r="Z19" s="30">
        <f t="shared" ref="Z19:Z30" si="11">IF(T19=0,0,X19/T19)</f>
        <v>-0.98099753734439221</v>
      </c>
    </row>
    <row r="20" spans="1:26" s="27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4"/>
        <v>0</v>
      </c>
      <c r="G20" s="1"/>
      <c r="H20" s="1">
        <f>SUM(OSRRefH22_0x_0)</f>
        <v>0</v>
      </c>
      <c r="I20" s="1"/>
      <c r="J20" s="5">
        <f t="shared" si="5"/>
        <v>0</v>
      </c>
      <c r="K20" s="1"/>
      <c r="L20" s="1">
        <f t="shared" si="6"/>
        <v>0</v>
      </c>
      <c r="M20" s="1"/>
      <c r="N20" s="5">
        <f t="shared" si="7"/>
        <v>0</v>
      </c>
      <c r="O20" s="14"/>
      <c r="P20" s="1">
        <f>SUM(OSRRefP22_0x_0)</f>
        <v>0</v>
      </c>
      <c r="Q20" s="1"/>
      <c r="R20" s="5">
        <f t="shared" si="8"/>
        <v>0</v>
      </c>
      <c r="S20" s="1"/>
      <c r="T20" s="1">
        <f>SUM(OSRRefT22_0x_0)</f>
        <v>702.51</v>
      </c>
      <c r="U20" s="1"/>
      <c r="V20" s="5">
        <f t="shared" si="9"/>
        <v>0.72058959288549718</v>
      </c>
      <c r="W20" s="1"/>
      <c r="X20" s="1">
        <f t="shared" si="10"/>
        <v>-702.51</v>
      </c>
      <c r="Y20" s="1"/>
      <c r="Z20" s="5">
        <f t="shared" si="11"/>
        <v>-1</v>
      </c>
    </row>
    <row r="21" spans="1:26" s="24" customFormat="1" hidden="1" outlineLevel="2" x14ac:dyDescent="0.25">
      <c r="A21" s="28"/>
      <c r="B21" s="11" t="str">
        <f>CONCATENATE("          ", "6113", " - ", "GROUP INSURANCE")</f>
        <v xml:space="preserve">          6113 - GROUP INSURANCE</v>
      </c>
      <c r="C21" s="11"/>
      <c r="D21" s="7"/>
      <c r="E21" s="2"/>
      <c r="F21" s="6">
        <f t="shared" si="4"/>
        <v>0</v>
      </c>
      <c r="G21" s="2"/>
      <c r="H21" s="7"/>
      <c r="I21" s="2"/>
      <c r="J21" s="6">
        <f t="shared" si="5"/>
        <v>0</v>
      </c>
      <c r="K21" s="2"/>
      <c r="L21" s="7">
        <f t="shared" si="6"/>
        <v>0</v>
      </c>
      <c r="M21" s="2"/>
      <c r="N21" s="6">
        <f t="shared" si="7"/>
        <v>0</v>
      </c>
      <c r="O21" s="11"/>
      <c r="P21" s="7"/>
      <c r="Q21" s="2"/>
      <c r="R21" s="6">
        <f t="shared" si="8"/>
        <v>0</v>
      </c>
      <c r="S21" s="2"/>
      <c r="T21" s="7">
        <v>702.51</v>
      </c>
      <c r="U21" s="2"/>
      <c r="V21" s="6">
        <f t="shared" si="9"/>
        <v>0.72058959288549718</v>
      </c>
      <c r="W21" s="2"/>
      <c r="X21" s="7">
        <f t="shared" si="10"/>
        <v>-702.51</v>
      </c>
      <c r="Y21" s="2"/>
      <c r="Z21" s="6">
        <f t="shared" si="11"/>
        <v>-1</v>
      </c>
    </row>
    <row r="22" spans="1:26" s="27" customFormat="1" outlineLevel="1" collapsed="1" x14ac:dyDescent="0.25">
      <c r="A22" s="29"/>
      <c r="B22" s="14" t="str">
        <f>CONCATENATE("     ","Depreciation                                      ")</f>
        <v xml:space="preserve">     Depreciation                                      </v>
      </c>
      <c r="C22" s="14"/>
      <c r="D22" s="1">
        <f>SUM(OSRRefD22_1x_0)</f>
        <v>0</v>
      </c>
      <c r="E22" s="1"/>
      <c r="F22" s="5">
        <f t="shared" si="4"/>
        <v>0</v>
      </c>
      <c r="G22" s="1"/>
      <c r="H22" s="1">
        <f>SUM(OSRRefH22_1x_0)</f>
        <v>1825.26</v>
      </c>
      <c r="I22" s="1"/>
      <c r="J22" s="5">
        <f t="shared" si="5"/>
        <v>0</v>
      </c>
      <c r="K22" s="1"/>
      <c r="L22" s="1">
        <f t="shared" si="6"/>
        <v>-1825.26</v>
      </c>
      <c r="M22" s="1"/>
      <c r="N22" s="5">
        <f t="shared" si="7"/>
        <v>-1</v>
      </c>
      <c r="O22" s="14"/>
      <c r="P22" s="1">
        <f>SUM(OSRRefP22_1x_0)</f>
        <v>0</v>
      </c>
      <c r="Q22" s="1"/>
      <c r="R22" s="5">
        <f t="shared" si="8"/>
        <v>0</v>
      </c>
      <c r="S22" s="1"/>
      <c r="T22" s="1">
        <f>SUM(OSRRefT22_1x_0)</f>
        <v>5622.57</v>
      </c>
      <c r="U22" s="1"/>
      <c r="V22" s="5">
        <f t="shared" si="9"/>
        <v>5.7672708249992306</v>
      </c>
      <c r="W22" s="1"/>
      <c r="X22" s="1">
        <f t="shared" si="10"/>
        <v>-5622.57</v>
      </c>
      <c r="Y22" s="1"/>
      <c r="Z22" s="5">
        <f t="shared" si="11"/>
        <v>-1</v>
      </c>
    </row>
    <row r="23" spans="1:26" s="24" customFormat="1" hidden="1" outlineLevel="2" x14ac:dyDescent="0.25">
      <c r="A23" s="28"/>
      <c r="B23" s="11" t="str">
        <f>CONCATENATE("          ", "6322", " - ", "EQUIPMENT DEPRECIATION EXPENSE")</f>
        <v xml:space="preserve">          6322 - EQUIPMENT DEPRECIATION EXPENSE</v>
      </c>
      <c r="C23" s="11"/>
      <c r="D23" s="7"/>
      <c r="E23" s="2"/>
      <c r="F23" s="6">
        <f t="shared" si="4"/>
        <v>0</v>
      </c>
      <c r="G23" s="2"/>
      <c r="H23" s="7">
        <v>1825.26</v>
      </c>
      <c r="I23" s="2"/>
      <c r="J23" s="6">
        <f t="shared" si="5"/>
        <v>0</v>
      </c>
      <c r="K23" s="2"/>
      <c r="L23" s="7">
        <f t="shared" si="6"/>
        <v>-1825.26</v>
      </c>
      <c r="M23" s="2"/>
      <c r="N23" s="6">
        <f t="shared" si="7"/>
        <v>-1</v>
      </c>
      <c r="O23" s="11"/>
      <c r="P23" s="7"/>
      <c r="Q23" s="2"/>
      <c r="R23" s="6">
        <f t="shared" si="8"/>
        <v>0</v>
      </c>
      <c r="S23" s="2"/>
      <c r="T23" s="7">
        <v>5622.57</v>
      </c>
      <c r="U23" s="2"/>
      <c r="V23" s="6">
        <f t="shared" si="9"/>
        <v>5.7672708249992306</v>
      </c>
      <c r="W23" s="2"/>
      <c r="X23" s="7">
        <f t="shared" si="10"/>
        <v>-5622.57</v>
      </c>
      <c r="Y23" s="2"/>
      <c r="Z23" s="6">
        <f t="shared" si="11"/>
        <v>-1</v>
      </c>
    </row>
    <row r="24" spans="1:26" s="27" customFormat="1" outlineLevel="1" collapsed="1" x14ac:dyDescent="0.25">
      <c r="A24" s="29"/>
      <c r="B24" s="14" t="str">
        <f>CONCATENATE("     ","Equipment Rental                                  ")</f>
        <v xml:space="preserve">     Equipment Rental                                  </v>
      </c>
      <c r="C24" s="14"/>
      <c r="D24" s="1">
        <f>SUM(OSRRefD22_2x_0)</f>
        <v>0</v>
      </c>
      <c r="E24" s="1"/>
      <c r="F24" s="5">
        <f t="shared" si="4"/>
        <v>0</v>
      </c>
      <c r="G24" s="1"/>
      <c r="H24" s="1">
        <f>SUM(OSRRefH22_2x_0)</f>
        <v>96.3</v>
      </c>
      <c r="I24" s="1"/>
      <c r="J24" s="5">
        <f t="shared" si="5"/>
        <v>0</v>
      </c>
      <c r="K24" s="1"/>
      <c r="L24" s="1">
        <f t="shared" si="6"/>
        <v>-96.3</v>
      </c>
      <c r="M24" s="1"/>
      <c r="N24" s="5">
        <f t="shared" si="7"/>
        <v>-1</v>
      </c>
      <c r="O24" s="14"/>
      <c r="P24" s="1">
        <f>SUM(OSRRefP22_2x_0)</f>
        <v>0</v>
      </c>
      <c r="Q24" s="1"/>
      <c r="R24" s="5">
        <f t="shared" si="8"/>
        <v>0</v>
      </c>
      <c r="S24" s="1"/>
      <c r="T24" s="1">
        <f>SUM(OSRRefT22_2x_0)</f>
        <v>96.3</v>
      </c>
      <c r="U24" s="1"/>
      <c r="V24" s="5">
        <f t="shared" si="9"/>
        <v>9.8778348770655749E-2</v>
      </c>
      <c r="W24" s="1"/>
      <c r="X24" s="1">
        <f t="shared" si="10"/>
        <v>-96.3</v>
      </c>
      <c r="Y24" s="1"/>
      <c r="Z24" s="5">
        <f t="shared" si="11"/>
        <v>-1</v>
      </c>
    </row>
    <row r="25" spans="1:26" s="24" customFormat="1" hidden="1" outlineLevel="2" x14ac:dyDescent="0.25">
      <c r="A25" s="28"/>
      <c r="B25" s="11" t="str">
        <f>CONCATENATE("          ", "6351", " - ", "EQUIPMENT RENTAL")</f>
        <v xml:space="preserve">          6351 - EQUIPMENT RENTAL</v>
      </c>
      <c r="C25" s="11"/>
      <c r="D25" s="7"/>
      <c r="E25" s="2"/>
      <c r="F25" s="6">
        <f t="shared" si="4"/>
        <v>0</v>
      </c>
      <c r="G25" s="2"/>
      <c r="H25" s="7">
        <v>96.3</v>
      </c>
      <c r="I25" s="2"/>
      <c r="J25" s="6">
        <f t="shared" si="5"/>
        <v>0</v>
      </c>
      <c r="K25" s="2"/>
      <c r="L25" s="7">
        <f t="shared" si="6"/>
        <v>-96.3</v>
      </c>
      <c r="M25" s="2"/>
      <c r="N25" s="6">
        <f t="shared" si="7"/>
        <v>-1</v>
      </c>
      <c r="O25" s="11"/>
      <c r="P25" s="7"/>
      <c r="Q25" s="2"/>
      <c r="R25" s="6">
        <f t="shared" si="8"/>
        <v>0</v>
      </c>
      <c r="S25" s="2"/>
      <c r="T25" s="7">
        <v>96.3</v>
      </c>
      <c r="U25" s="2"/>
      <c r="V25" s="6">
        <f t="shared" si="9"/>
        <v>9.8778348770655749E-2</v>
      </c>
      <c r="W25" s="2"/>
      <c r="X25" s="7">
        <f t="shared" si="10"/>
        <v>-96.3</v>
      </c>
      <c r="Y25" s="2"/>
      <c r="Z25" s="6">
        <f t="shared" si="11"/>
        <v>-1</v>
      </c>
    </row>
    <row r="26" spans="1:26" s="27" customFormat="1" outlineLevel="1" collapsed="1" x14ac:dyDescent="0.25">
      <c r="A26" s="29"/>
      <c r="B26" s="14" t="str">
        <f>CONCATENATE("     ","General                                           ")</f>
        <v xml:space="preserve">     General                                           </v>
      </c>
      <c r="C26" s="14"/>
      <c r="D26" s="1">
        <f>SUM(OSRRefD22_3x_0)</f>
        <v>0</v>
      </c>
      <c r="E26" s="1"/>
      <c r="F26" s="5">
        <f t="shared" si="4"/>
        <v>0</v>
      </c>
      <c r="G26" s="1"/>
      <c r="H26" s="1">
        <f>SUM(OSRRefH22_3x_0)</f>
        <v>0</v>
      </c>
      <c r="I26" s="1"/>
      <c r="J26" s="5">
        <f t="shared" si="5"/>
        <v>0</v>
      </c>
      <c r="K26" s="1"/>
      <c r="L26" s="1">
        <f t="shared" si="6"/>
        <v>0</v>
      </c>
      <c r="M26" s="1"/>
      <c r="N26" s="5">
        <f t="shared" si="7"/>
        <v>0</v>
      </c>
      <c r="O26" s="14"/>
      <c r="P26" s="1">
        <f>SUM(OSRRefP22_3x_0)</f>
        <v>0</v>
      </c>
      <c r="Q26" s="1"/>
      <c r="R26" s="5">
        <f t="shared" si="8"/>
        <v>0</v>
      </c>
      <c r="S26" s="1"/>
      <c r="T26" s="1">
        <f>SUM(OSRRefT22_3x_0)</f>
        <v>7.28</v>
      </c>
      <c r="U26" s="1"/>
      <c r="V26" s="5">
        <f t="shared" si="9"/>
        <v>7.467355961063073E-3</v>
      </c>
      <c r="W26" s="1"/>
      <c r="X26" s="1">
        <f t="shared" si="10"/>
        <v>-7.28</v>
      </c>
      <c r="Y26" s="1"/>
      <c r="Z26" s="5">
        <f t="shared" si="11"/>
        <v>-1</v>
      </c>
    </row>
    <row r="27" spans="1:26" s="24" customFormat="1" hidden="1" outlineLevel="2" x14ac:dyDescent="0.25">
      <c r="A27" s="28"/>
      <c r="B27" s="11" t="str">
        <f>CONCATENATE("          ", "6279", " - ", "GENERAL EXPENSE")</f>
        <v xml:space="preserve">          6279 - GENERAL EXPENSE</v>
      </c>
      <c r="C27" s="11"/>
      <c r="D27" s="7"/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0</v>
      </c>
      <c r="M27" s="2"/>
      <c r="N27" s="6">
        <f t="shared" si="7"/>
        <v>0</v>
      </c>
      <c r="O27" s="11"/>
      <c r="P27" s="7"/>
      <c r="Q27" s="2"/>
      <c r="R27" s="6">
        <f t="shared" si="8"/>
        <v>0</v>
      </c>
      <c r="S27" s="2"/>
      <c r="T27" s="7">
        <v>7.28</v>
      </c>
      <c r="U27" s="2"/>
      <c r="V27" s="6">
        <f t="shared" si="9"/>
        <v>7.467355961063073E-3</v>
      </c>
      <c r="W27" s="2"/>
      <c r="X27" s="7">
        <f t="shared" si="10"/>
        <v>-7.28</v>
      </c>
      <c r="Y27" s="2"/>
      <c r="Z27" s="6">
        <f t="shared" si="11"/>
        <v>-1</v>
      </c>
    </row>
    <row r="28" spans="1:26" s="27" customFormat="1" outlineLevel="1" collapsed="1" x14ac:dyDescent="0.25">
      <c r="A28" s="29"/>
      <c r="B28" s="14" t="str">
        <f>CONCATENATE("     ","Repair and Maintenance                            ")</f>
        <v xml:space="preserve">     Repair and Maintenance                            </v>
      </c>
      <c r="C28" s="14"/>
      <c r="D28" s="1">
        <f>SUM(OSRRefD22_4x_0)</f>
        <v>129.16999999999999</v>
      </c>
      <c r="E28" s="1"/>
      <c r="F28" s="5">
        <f t="shared" si="4"/>
        <v>0</v>
      </c>
      <c r="G28" s="1"/>
      <c r="H28" s="1">
        <f>SUM(OSRRefH22_4x_0)</f>
        <v>329.58000000000004</v>
      </c>
      <c r="I28" s="1"/>
      <c r="J28" s="5">
        <f t="shared" si="5"/>
        <v>0</v>
      </c>
      <c r="K28" s="1"/>
      <c r="L28" s="1">
        <f t="shared" si="6"/>
        <v>-200.41000000000005</v>
      </c>
      <c r="M28" s="1"/>
      <c r="N28" s="5">
        <f t="shared" si="7"/>
        <v>-0.60807694641665155</v>
      </c>
      <c r="O28" s="14"/>
      <c r="P28" s="1">
        <f>SUM(OSRRefP22_4x_0)</f>
        <v>129.16999999999999</v>
      </c>
      <c r="Q28" s="1"/>
      <c r="R28" s="5">
        <f t="shared" si="8"/>
        <v>0</v>
      </c>
      <c r="S28" s="1"/>
      <c r="T28" s="1">
        <f>SUM(OSRRefT22_4x_0)</f>
        <v>368.88</v>
      </c>
      <c r="U28" s="1"/>
      <c r="V28" s="5">
        <f t="shared" si="9"/>
        <v>0.37837338831276734</v>
      </c>
      <c r="W28" s="1"/>
      <c r="X28" s="1">
        <f t="shared" si="10"/>
        <v>-239.71</v>
      </c>
      <c r="Y28" s="1"/>
      <c r="Z28" s="5">
        <f t="shared" si="11"/>
        <v>-0.64983192366081111</v>
      </c>
    </row>
    <row r="29" spans="1:26" s="24" customFormat="1" hidden="1" outlineLevel="2" x14ac:dyDescent="0.25">
      <c r="A29" s="28"/>
      <c r="B29" s="11" t="str">
        <f>CONCATENATE("          ", "6373", " - ", "MAINTENANCE CONTRACTS")</f>
        <v xml:space="preserve">          6373 - MAINTENANCE CONTRACTS</v>
      </c>
      <c r="C29" s="11"/>
      <c r="D29" s="7">
        <v>129.16999999999999</v>
      </c>
      <c r="E29" s="2"/>
      <c r="F29" s="6">
        <f t="shared" si="4"/>
        <v>0</v>
      </c>
      <c r="G29" s="2"/>
      <c r="H29" s="7">
        <v>129.58000000000001</v>
      </c>
      <c r="I29" s="2"/>
      <c r="J29" s="6">
        <f t="shared" si="5"/>
        <v>0</v>
      </c>
      <c r="K29" s="2"/>
      <c r="L29" s="7">
        <f t="shared" si="6"/>
        <v>-0.41000000000002501</v>
      </c>
      <c r="M29" s="2"/>
      <c r="N29" s="6">
        <f t="shared" si="7"/>
        <v>-3.1640685290941885E-3</v>
      </c>
      <c r="O29" s="11"/>
      <c r="P29" s="7">
        <v>129.16999999999999</v>
      </c>
      <c r="Q29" s="2"/>
      <c r="R29" s="6">
        <f t="shared" si="8"/>
        <v>0</v>
      </c>
      <c r="S29" s="2"/>
      <c r="T29" s="7">
        <v>168.88</v>
      </c>
      <c r="U29" s="2"/>
      <c r="V29" s="6">
        <f t="shared" si="9"/>
        <v>0.17322624652532029</v>
      </c>
      <c r="W29" s="2"/>
      <c r="X29" s="7">
        <f t="shared" si="10"/>
        <v>-39.710000000000008</v>
      </c>
      <c r="Y29" s="2"/>
      <c r="Z29" s="6">
        <f t="shared" si="11"/>
        <v>-0.23513737565135012</v>
      </c>
    </row>
    <row r="30" spans="1:26" s="24" customFormat="1" hidden="1" outlineLevel="2" x14ac:dyDescent="0.25">
      <c r="A30" s="28"/>
      <c r="B30" s="11" t="str">
        <f>CONCATENATE("          ", "6375", " - ", "OUTSIDE REPAIRS &amp; MAINTENANCE")</f>
        <v xml:space="preserve">          6375 - OUTSIDE REPAIRS &amp; MAINTENANCE</v>
      </c>
      <c r="C30" s="11"/>
      <c r="D30" s="7"/>
      <c r="E30" s="2"/>
      <c r="F30" s="6">
        <f t="shared" si="4"/>
        <v>0</v>
      </c>
      <c r="G30" s="2"/>
      <c r="H30" s="7">
        <v>200</v>
      </c>
      <c r="I30" s="2"/>
      <c r="J30" s="6">
        <f t="shared" si="5"/>
        <v>0</v>
      </c>
      <c r="K30" s="2"/>
      <c r="L30" s="7">
        <f t="shared" si="6"/>
        <v>-200</v>
      </c>
      <c r="M30" s="2"/>
      <c r="N30" s="6">
        <f t="shared" si="7"/>
        <v>-1</v>
      </c>
      <c r="O30" s="11"/>
      <c r="P30" s="7"/>
      <c r="Q30" s="2"/>
      <c r="R30" s="6">
        <f t="shared" si="8"/>
        <v>0</v>
      </c>
      <c r="S30" s="2"/>
      <c r="T30" s="7">
        <v>200</v>
      </c>
      <c r="U30" s="2"/>
      <c r="V30" s="6">
        <f t="shared" si="9"/>
        <v>0.20514714178744706</v>
      </c>
      <c r="W30" s="2"/>
      <c r="X30" s="7">
        <f t="shared" si="10"/>
        <v>-200</v>
      </c>
      <c r="Y30" s="2"/>
      <c r="Z30" s="6">
        <f t="shared" si="11"/>
        <v>-1</v>
      </c>
    </row>
    <row r="31" spans="1:26" s="54" customFormat="1" x14ac:dyDescent="0.25">
      <c r="A31" s="37"/>
      <c r="B31" s="37"/>
      <c r="C31" s="37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6" t="s">
        <v>292</v>
      </c>
      <c r="C32" s="10"/>
      <c r="D32" s="4">
        <f>SUM(0)</f>
        <v>0</v>
      </c>
      <c r="E32" s="4"/>
      <c r="F32" s="12">
        <f>IF(D$12=0,0,D32/D$12)</f>
        <v>0</v>
      </c>
      <c r="G32" s="4"/>
      <c r="H32" s="4">
        <f>SUM(0)</f>
        <v>0</v>
      </c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>
        <f>SUM(0)</f>
        <v>0</v>
      </c>
      <c r="Q32" s="4"/>
      <c r="R32" s="12">
        <f>IF(P$12=0,0,P32/P$12)</f>
        <v>0</v>
      </c>
      <c r="S32" s="4"/>
      <c r="T32" s="4">
        <f>SUM(0)</f>
        <v>0</v>
      </c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10"/>
      <c r="B34" s="25" t="s">
        <v>276</v>
      </c>
      <c r="C34" s="25"/>
      <c r="D34" s="21">
        <f>+D17-D19+D32</f>
        <v>-129.16999999999999</v>
      </c>
      <c r="E34" s="13"/>
      <c r="F34" s="22">
        <f>IF(D$12=0,0,D34/D$12)</f>
        <v>0</v>
      </c>
      <c r="G34" s="13"/>
      <c r="H34" s="21">
        <f>+H17-H19+H32</f>
        <v>-2251.14</v>
      </c>
      <c r="I34" s="13"/>
      <c r="J34" s="22">
        <f>IF(H$12=0,0,H34/H$12)</f>
        <v>0</v>
      </c>
      <c r="K34" s="16"/>
      <c r="L34" s="21">
        <f>+D34-H34</f>
        <v>2121.9699999999998</v>
      </c>
      <c r="M34" s="16"/>
      <c r="N34" s="22">
        <f>IF(H34=0,0,L34/H34)</f>
        <v>-0.94262018355144506</v>
      </c>
      <c r="O34" s="26"/>
      <c r="P34" s="21">
        <f>+P17-P19+P32</f>
        <v>-129.16999999999999</v>
      </c>
      <c r="Q34" s="13"/>
      <c r="R34" s="22">
        <f>IF(P$12=0,0,P34/P$12)</f>
        <v>0</v>
      </c>
      <c r="S34" s="13"/>
      <c r="T34" s="21">
        <f>+T17-T19+T32</f>
        <v>-5822.63</v>
      </c>
      <c r="U34" s="13"/>
      <c r="V34" s="22">
        <f>IF(T$12=0,0,T34/T$12)</f>
        <v>-5.9724795109292144</v>
      </c>
      <c r="W34" s="16"/>
      <c r="X34" s="21">
        <f>+P34-T34</f>
        <v>5693.46</v>
      </c>
      <c r="Y34" s="16"/>
      <c r="Z34" s="22">
        <f>IF(T34=0,0,X34/T34)</f>
        <v>-0.9778158667131519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51"/>
      <c r="B36" s="10" t="s">
        <v>127</v>
      </c>
      <c r="C36" s="10"/>
      <c r="D36" s="4"/>
      <c r="E36" s="4"/>
      <c r="F36" s="12">
        <f>IF(D$12=0,0,D36/D$12)</f>
        <v>0</v>
      </c>
      <c r="G36" s="4"/>
      <c r="H36" s="4">
        <v>16.010000000000002</v>
      </c>
      <c r="I36" s="4"/>
      <c r="J36" s="12">
        <f>IF(H$12=0,0,H36/H$12)</f>
        <v>0</v>
      </c>
      <c r="K36" s="4"/>
      <c r="L36" s="4">
        <f>+D36-H36</f>
        <v>-16.010000000000002</v>
      </c>
      <c r="M36" s="4"/>
      <c r="N36" s="12">
        <f>IF(H36=0,0,L36/H36)</f>
        <v>-1</v>
      </c>
      <c r="O36" s="10"/>
      <c r="P36" s="4"/>
      <c r="Q36" s="4"/>
      <c r="R36" s="12">
        <f>IF(P$12=0,0,P36/P$12)</f>
        <v>0</v>
      </c>
      <c r="S36" s="4"/>
      <c r="T36" s="4">
        <v>180.61</v>
      </c>
      <c r="U36" s="4"/>
      <c r="V36" s="12">
        <f>IF(T$12=0,0,T36/T$12)</f>
        <v>0.18525812639115408</v>
      </c>
      <c r="W36" s="4"/>
      <c r="X36" s="4">
        <f>+P36-T36</f>
        <v>-180.61</v>
      </c>
      <c r="Y36" s="4"/>
      <c r="Z36" s="12">
        <f>IF(T36=0,0,X36/T36)</f>
        <v>-1</v>
      </c>
    </row>
    <row r="37" spans="1:26" x14ac:dyDescent="0.25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5" t="s">
        <v>125</v>
      </c>
      <c r="C38" s="25"/>
      <c r="D38" s="33">
        <f>+D34-D36</f>
        <v>-129.16999999999999</v>
      </c>
      <c r="E38" s="13"/>
      <c r="F38" s="35">
        <f>IF(D$12=0,0,D38/D$12)</f>
        <v>0</v>
      </c>
      <c r="G38" s="13"/>
      <c r="H38" s="33">
        <f>+H34-H36</f>
        <v>-2267.15</v>
      </c>
      <c r="I38" s="13"/>
      <c r="J38" s="35">
        <f>IF(H$12=0,0,H38/H$12)</f>
        <v>0</v>
      </c>
      <c r="K38" s="16"/>
      <c r="L38" s="33">
        <f>D38-H38</f>
        <v>2137.98</v>
      </c>
      <c r="M38" s="16"/>
      <c r="N38" s="35">
        <f>IF(H38=0,0,L38/H38)</f>
        <v>-0.94302538429305516</v>
      </c>
      <c r="O38" s="26"/>
      <c r="P38" s="33">
        <f>+P34-P36</f>
        <v>-129.16999999999999</v>
      </c>
      <c r="Q38" s="13"/>
      <c r="R38" s="35">
        <f>IF(P$12=0,0,P38/P$12)</f>
        <v>0</v>
      </c>
      <c r="S38" s="13"/>
      <c r="T38" s="33">
        <f>+T34-T36</f>
        <v>-6003.24</v>
      </c>
      <c r="U38" s="13"/>
      <c r="V38" s="35">
        <f>IF(T$12=0,0,T38/T$12)</f>
        <v>-6.1577376373203681</v>
      </c>
      <c r="W38" s="16"/>
      <c r="X38" s="33">
        <f>P38-T38</f>
        <v>5874.07</v>
      </c>
      <c r="Y38" s="16"/>
      <c r="Z38" s="35">
        <f>IF(T38=0,0,X38/T38)</f>
        <v>-0.97848328569239273</v>
      </c>
    </row>
    <row r="39" spans="1:26" ht="15.75" thickTop="1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x14ac:dyDescent="0.25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.75" thickBot="1" x14ac:dyDescent="0.3">
      <c r="A41" s="10"/>
      <c r="B41" s="25" t="s">
        <v>293</v>
      </c>
      <c r="C41" s="25"/>
      <c r="D41" s="31">
        <f>SUM(D38:D40)</f>
        <v>-129.16999999999999</v>
      </c>
      <c r="E41" s="13"/>
      <c r="F41" s="32">
        <f>IF(D$12=0,0,D41/D$12)</f>
        <v>0</v>
      </c>
      <c r="G41" s="13"/>
      <c r="H41" s="31">
        <f>SUM(H38:H40)</f>
        <v>-2267.15</v>
      </c>
      <c r="I41" s="13"/>
      <c r="J41" s="32">
        <f>IF(H$12=0,0,H41/H$12)</f>
        <v>0</v>
      </c>
      <c r="K41" s="16"/>
      <c r="L41" s="31">
        <f>+D41-H41</f>
        <v>2137.98</v>
      </c>
      <c r="M41" s="16"/>
      <c r="N41" s="32">
        <f>IF(H41=0,0,L41/H41)</f>
        <v>-0.94302538429305516</v>
      </c>
      <c r="O41" s="26"/>
      <c r="P41" s="31">
        <f>SUM(P38:P40)</f>
        <v>-129.16999999999999</v>
      </c>
      <c r="Q41" s="13"/>
      <c r="R41" s="32">
        <f>IF(P$12=0,0,P41/P$12)</f>
        <v>0</v>
      </c>
      <c r="S41" s="13"/>
      <c r="T41" s="31">
        <f>SUM(T38:T40)</f>
        <v>-6003.24</v>
      </c>
      <c r="U41" s="13"/>
      <c r="V41" s="32">
        <f>IF(T$12=0,0,T41/T$12)</f>
        <v>-6.1577376373203681</v>
      </c>
      <c r="W41" s="16"/>
      <c r="X41" s="31">
        <f>+P41-T41</f>
        <v>5874.07</v>
      </c>
      <c r="Y41" s="16"/>
      <c r="Z41" s="32">
        <f>IF(T41=0,0,X41/T41)</f>
        <v>-0.97848328569239273</v>
      </c>
    </row>
    <row r="42" spans="1:26" ht="15.75" thickTop="1" x14ac:dyDescent="0.25">
      <c r="A42" s="9"/>
      <c r="C42" s="9"/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58">
        <v>44481.985668518515</v>
      </c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A44" s="9"/>
      <c r="B44" s="53" t="s">
        <v>56</v>
      </c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  <row r="45" spans="1:26" x14ac:dyDescent="0.25">
      <c r="A45" s="9"/>
      <c r="B45" s="52"/>
      <c r="D45" s="18"/>
      <c r="E45" s="18"/>
      <c r="G45" s="18"/>
      <c r="H45" s="18"/>
      <c r="I45" s="18"/>
      <c r="J45" s="42"/>
      <c r="K45" s="18"/>
      <c r="L45" s="18"/>
      <c r="M45" s="18"/>
      <c r="P45" s="18"/>
      <c r="Q45" s="18"/>
      <c r="R45" s="42"/>
      <c r="S45" s="18"/>
      <c r="T45" s="18"/>
      <c r="U45" s="18"/>
      <c r="V45" s="42"/>
      <c r="W45" s="18"/>
      <c r="X45" s="18"/>
    </row>
    <row r="46" spans="1:26" x14ac:dyDescent="0.25">
      <c r="D46" s="18"/>
      <c r="E46" s="18"/>
      <c r="G46" s="18"/>
      <c r="H46" s="18"/>
      <c r="I46" s="18"/>
      <c r="J46" s="42"/>
      <c r="K46" s="18"/>
      <c r="L46" s="18"/>
      <c r="M46" s="18"/>
      <c r="P46" s="18"/>
      <c r="Q46" s="18"/>
      <c r="R46" s="42"/>
      <c r="S46" s="18"/>
      <c r="T46" s="18"/>
      <c r="U46" s="18"/>
      <c r="V46" s="42"/>
      <c r="W46" s="18"/>
      <c r="X46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","415", " - ", "Outpost")</f>
        <v>Department 415 - Outpost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64314.19</v>
      </c>
      <c r="E12" s="4"/>
      <c r="F12" s="12"/>
      <c r="G12" s="4"/>
      <c r="H12" s="4">
        <f>SUM(OSRRefH13x_0)</f>
        <v>8677.65</v>
      </c>
      <c r="I12" s="4"/>
      <c r="J12" s="12"/>
      <c r="K12" s="4"/>
      <c r="L12" s="4">
        <f t="shared" ref="L12:L14" si="0">+D12-H12</f>
        <v>55636.54</v>
      </c>
      <c r="M12" s="4"/>
      <c r="N12" s="12">
        <f t="shared" ref="N12:N14" si="1">IF(H12=0,0,L12/H12)</f>
        <v>6.4114754570649888</v>
      </c>
      <c r="O12" s="10"/>
      <c r="P12" s="4">
        <f>SUM(OSRRefP13x_0)</f>
        <v>120932.51999999999</v>
      </c>
      <c r="Q12" s="4"/>
      <c r="R12" s="12"/>
      <c r="S12" s="4"/>
      <c r="T12" s="4">
        <f>SUM(OSRRefT13x_0)</f>
        <v>13396.59</v>
      </c>
      <c r="U12" s="4"/>
      <c r="V12" s="12"/>
      <c r="W12" s="4"/>
      <c r="X12" s="4">
        <f t="shared" ref="X12:X14" si="2">+P12-T12</f>
        <v>107535.93</v>
      </c>
      <c r="Y12" s="4"/>
      <c r="Z12" s="12">
        <f t="shared" ref="Z12:Z14" si="3">IF(T12=0,0,X12/T12)</f>
        <v>8.0271121233089904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--24705.18</f>
        <v>24705.18</v>
      </c>
      <c r="E13" s="2"/>
      <c r="F13" s="19"/>
      <c r="G13" s="2"/>
      <c r="H13" s="2">
        <f>--4141.96</f>
        <v>4141.96</v>
      </c>
      <c r="I13" s="2"/>
      <c r="J13" s="19"/>
      <c r="K13" s="2"/>
      <c r="L13" s="2">
        <f t="shared" si="0"/>
        <v>20563.22</v>
      </c>
      <c r="M13" s="2"/>
      <c r="N13" s="19">
        <f t="shared" si="1"/>
        <v>4.9646109571314065</v>
      </c>
      <c r="O13" s="11"/>
      <c r="P13" s="2">
        <f>--53705.96</f>
        <v>53705.96</v>
      </c>
      <c r="Q13" s="2"/>
      <c r="R13" s="19"/>
      <c r="S13" s="2"/>
      <c r="T13" s="2">
        <f>--6652.68</f>
        <v>6652.68</v>
      </c>
      <c r="U13" s="2"/>
      <c r="V13" s="19"/>
      <c r="W13" s="2"/>
      <c r="X13" s="2">
        <f t="shared" si="2"/>
        <v>47053.279999999999</v>
      </c>
      <c r="Y13" s="2"/>
      <c r="Z13" s="19">
        <f t="shared" si="3"/>
        <v>7.0728307990163355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--39609.01</f>
        <v>39609.01</v>
      </c>
      <c r="E14" s="2"/>
      <c r="F14" s="19"/>
      <c r="G14" s="2"/>
      <c r="H14" s="2">
        <f>--4535.69</f>
        <v>4535.6899999999996</v>
      </c>
      <c r="I14" s="2"/>
      <c r="J14" s="19"/>
      <c r="K14" s="2"/>
      <c r="L14" s="2">
        <f t="shared" si="0"/>
        <v>35073.32</v>
      </c>
      <c r="M14" s="2"/>
      <c r="N14" s="19">
        <f t="shared" si="1"/>
        <v>7.7327418760982347</v>
      </c>
      <c r="O14" s="11"/>
      <c r="P14" s="2">
        <f>--67226.56</f>
        <v>67226.559999999998</v>
      </c>
      <c r="Q14" s="2"/>
      <c r="R14" s="19"/>
      <c r="S14" s="2"/>
      <c r="T14" s="2">
        <f>--6743.91</f>
        <v>6743.91</v>
      </c>
      <c r="U14" s="2"/>
      <c r="V14" s="19"/>
      <c r="W14" s="2"/>
      <c r="X14" s="2">
        <f t="shared" si="2"/>
        <v>60482.649999999994</v>
      </c>
      <c r="Y14" s="2"/>
      <c r="Z14" s="19">
        <f t="shared" si="3"/>
        <v>8.9684841582998587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256</v>
      </c>
      <c r="C16" s="10"/>
      <c r="D16" s="4">
        <f>SUM(OSRRefD16x_0)</f>
        <v>26130.34</v>
      </c>
      <c r="E16" s="4"/>
      <c r="F16" s="12">
        <f t="shared" ref="F16:F18" si="4">IF(D$12=0,0,D16/D$12)</f>
        <v>0.40629198626306262</v>
      </c>
      <c r="G16" s="4"/>
      <c r="H16" s="4">
        <f>SUM(OSRRefH16x_0)</f>
        <v>1770.46</v>
      </c>
      <c r="I16" s="4"/>
      <c r="J16" s="12">
        <f t="shared" ref="J16:J18" si="5">IF(H$12=0,0,H16/H$12)</f>
        <v>0.20402528334284054</v>
      </c>
      <c r="K16" s="4"/>
      <c r="L16" s="4">
        <f t="shared" ref="L16:L18" si="6">+D16-H16</f>
        <v>24359.88</v>
      </c>
      <c r="M16" s="4"/>
      <c r="N16" s="12">
        <f t="shared" ref="N16:N18" si="7">IF(H16=0,0,L16/H16)</f>
        <v>13.759068264744755</v>
      </c>
      <c r="O16" s="10"/>
      <c r="P16" s="4">
        <f>SUM(OSRRefP16x_0)</f>
        <v>41234.11</v>
      </c>
      <c r="Q16" s="4"/>
      <c r="R16" s="12">
        <f t="shared" ref="R16:R18" si="8">IF(P$12=0,0,P16/P$12)</f>
        <v>0.34096792161446732</v>
      </c>
      <c r="S16" s="4"/>
      <c r="T16" s="4">
        <f>SUM(OSRRefT16x_0)</f>
        <v>6016.4</v>
      </c>
      <c r="U16" s="4"/>
      <c r="V16" s="12">
        <f t="shared" ref="V16:V18" si="9">IF(T$12=0,0,T16/T$12)</f>
        <v>0.4490993603596139</v>
      </c>
      <c r="W16" s="4"/>
      <c r="X16" s="4">
        <f t="shared" ref="X16:X18" si="10">+P16-T16</f>
        <v>35217.71</v>
      </c>
      <c r="Y16" s="4"/>
      <c r="Z16" s="12">
        <f t="shared" ref="Z16:Z18" si="11">IF(T16=0,0,X16/T16)</f>
        <v>5.8536184429226781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21939.34</v>
      </c>
      <c r="E17" s="2"/>
      <c r="F17" s="19">
        <f t="shared" si="4"/>
        <v>0.34112751789301859</v>
      </c>
      <c r="G17" s="2"/>
      <c r="H17" s="2">
        <v>1229.4000000000001</v>
      </c>
      <c r="I17" s="2"/>
      <c r="J17" s="19">
        <f t="shared" si="5"/>
        <v>0.14167430122210509</v>
      </c>
      <c r="K17" s="2"/>
      <c r="L17" s="2">
        <f t="shared" si="6"/>
        <v>20709.939999999999</v>
      </c>
      <c r="M17" s="2"/>
      <c r="N17" s="19">
        <f t="shared" si="7"/>
        <v>16.845566943224334</v>
      </c>
      <c r="O17" s="11"/>
      <c r="P17" s="2">
        <v>49495.11</v>
      </c>
      <c r="Q17" s="2"/>
      <c r="R17" s="19">
        <f t="shared" si="8"/>
        <v>0.4092787448735874</v>
      </c>
      <c r="S17" s="2"/>
      <c r="T17" s="2">
        <v>5430.34</v>
      </c>
      <c r="U17" s="2"/>
      <c r="V17" s="19">
        <f t="shared" si="9"/>
        <v>0.40535240684383117</v>
      </c>
      <c r="W17" s="2"/>
      <c r="X17" s="2">
        <f t="shared" si="10"/>
        <v>44064.770000000004</v>
      </c>
      <c r="Y17" s="2"/>
      <c r="Z17" s="19">
        <f t="shared" si="11"/>
        <v>8.1145508384373723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4191</v>
      </c>
      <c r="E18" s="2"/>
      <c r="F18" s="19">
        <f t="shared" si="4"/>
        <v>6.5164468370043999E-2</v>
      </c>
      <c r="G18" s="2"/>
      <c r="H18" s="2">
        <v>541.05999999999995</v>
      </c>
      <c r="I18" s="2"/>
      <c r="J18" s="19">
        <f t="shared" si="5"/>
        <v>6.2350982120735449E-2</v>
      </c>
      <c r="K18" s="2"/>
      <c r="L18" s="2">
        <f t="shared" si="6"/>
        <v>3649.94</v>
      </c>
      <c r="M18" s="2"/>
      <c r="N18" s="19">
        <f t="shared" si="7"/>
        <v>6.7459061841570263</v>
      </c>
      <c r="O18" s="11"/>
      <c r="P18" s="2">
        <v>-8261</v>
      </c>
      <c r="Q18" s="2"/>
      <c r="R18" s="19">
        <f t="shared" si="8"/>
        <v>-6.8310823259120051E-2</v>
      </c>
      <c r="S18" s="2"/>
      <c r="T18" s="2">
        <v>586.05999999999995</v>
      </c>
      <c r="U18" s="2"/>
      <c r="V18" s="19">
        <f t="shared" si="9"/>
        <v>4.3746953515782741E-2</v>
      </c>
      <c r="W18" s="2"/>
      <c r="X18" s="2">
        <f t="shared" si="10"/>
        <v>-8847.06</v>
      </c>
      <c r="Y18" s="2"/>
      <c r="Z18" s="19">
        <f t="shared" si="11"/>
        <v>-15.095826365901102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107</v>
      </c>
      <c r="C20" s="25"/>
      <c r="D20" s="21">
        <f>D12-D16</f>
        <v>38183.850000000006</v>
      </c>
      <c r="E20" s="13"/>
      <c r="F20" s="22">
        <f>IF(D$12=0,0,D20/D$12)</f>
        <v>0.59370801373693749</v>
      </c>
      <c r="G20" s="13"/>
      <c r="H20" s="21">
        <f>H12-H16</f>
        <v>6907.19</v>
      </c>
      <c r="I20" s="13"/>
      <c r="J20" s="22">
        <f>IF(H$12=0,0,H20/H$12)</f>
        <v>0.79597471665715946</v>
      </c>
      <c r="K20" s="16"/>
      <c r="L20" s="21">
        <f>+D20-H20</f>
        <v>31276.660000000007</v>
      </c>
      <c r="M20" s="16"/>
      <c r="N20" s="22">
        <f>IF(H20=0,0,L20/H20)</f>
        <v>4.5281308317854307</v>
      </c>
      <c r="O20" s="26"/>
      <c r="P20" s="21">
        <f>P12-P16</f>
        <v>79698.409999999989</v>
      </c>
      <c r="Q20" s="13"/>
      <c r="R20" s="22">
        <f>IF(P$12=0,0,P20/P$12)</f>
        <v>0.65903207838553268</v>
      </c>
      <c r="S20" s="13"/>
      <c r="T20" s="21">
        <f>T12-T16</f>
        <v>7380.1900000000005</v>
      </c>
      <c r="U20" s="13"/>
      <c r="V20" s="22">
        <f>IF(T$12=0,0,T20/T$12)</f>
        <v>0.55090063964038616</v>
      </c>
      <c r="W20" s="16"/>
      <c r="X20" s="21">
        <f>+P20-T20</f>
        <v>72318.219999999987</v>
      </c>
      <c r="Y20" s="16"/>
      <c r="Z20" s="22">
        <f>IF(T20=0,0,X20/T20)</f>
        <v>9.7989645253035462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294</v>
      </c>
      <c r="C22" s="10"/>
      <c r="D22" s="20">
        <f>SUM(OSRRefD22x_0)</f>
        <v>76556.820000000022</v>
      </c>
      <c r="E22" s="20"/>
      <c r="F22" s="30">
        <f t="shared" ref="F22:F31" si="12">IF(D$12=0,0,D22/D$12)</f>
        <v>1.190356591601325</v>
      </c>
      <c r="G22" s="20"/>
      <c r="H22" s="20">
        <f>SUM(OSRRefH22x_0)</f>
        <v>65605.72</v>
      </c>
      <c r="I22" s="20"/>
      <c r="J22" s="30">
        <f t="shared" ref="J22:J31" si="13">IF(H$12=0,0,H22/H$12)</f>
        <v>7.5603095308061521</v>
      </c>
      <c r="K22" s="4"/>
      <c r="L22" s="20">
        <f t="shared" ref="L22:L31" si="14">+D22-H22</f>
        <v>10951.10000000002</v>
      </c>
      <c r="M22" s="4"/>
      <c r="N22" s="30">
        <f t="shared" ref="N22:N31" si="15">IF(H22=0,0,L22/H22)</f>
        <v>0.16692294513344294</v>
      </c>
      <c r="O22" s="10"/>
      <c r="P22" s="20">
        <f>SUM(OSRRefP22x_0)</f>
        <v>215784.25</v>
      </c>
      <c r="Q22" s="20"/>
      <c r="R22" s="30">
        <f t="shared" ref="R22:R31" si="16">IF(P$12=0,0,P22/P$12)</f>
        <v>1.7843360082135062</v>
      </c>
      <c r="S22" s="20"/>
      <c r="T22" s="20">
        <f>SUM(OSRRefT22x_0)</f>
        <v>190044.42999999996</v>
      </c>
      <c r="U22" s="20"/>
      <c r="V22" s="30">
        <f t="shared" ref="V22:V31" si="17">IF(T$12=0,0,T22/T$12)</f>
        <v>14.186030176335915</v>
      </c>
      <c r="W22" s="4"/>
      <c r="X22" s="20">
        <f t="shared" ref="X22:X31" si="18">+P22-T22</f>
        <v>25739.820000000036</v>
      </c>
      <c r="Y22" s="4"/>
      <c r="Z22" s="30">
        <f t="shared" ref="Z22:Z31" si="19">IF(T22=0,0,X22/T22)</f>
        <v>0.13544106501832251</v>
      </c>
    </row>
    <row r="23" spans="1:26" s="27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11611.039999999999</v>
      </c>
      <c r="E23" s="1"/>
      <c r="F23" s="5">
        <f t="shared" si="12"/>
        <v>0.18053620826134945</v>
      </c>
      <c r="G23" s="1"/>
      <c r="H23" s="1">
        <f>SUM(OSRRefH22_0x_0)</f>
        <v>15801.559999999998</v>
      </c>
      <c r="I23" s="1"/>
      <c r="J23" s="5">
        <f t="shared" si="13"/>
        <v>1.8209492201229593</v>
      </c>
      <c r="K23" s="1"/>
      <c r="L23" s="1">
        <f t="shared" si="14"/>
        <v>-4190.5199999999986</v>
      </c>
      <c r="M23" s="1"/>
      <c r="N23" s="5">
        <f t="shared" si="15"/>
        <v>-0.26519660084194213</v>
      </c>
      <c r="O23" s="14"/>
      <c r="P23" s="1">
        <f>SUM(OSRRefP22_0x_0)</f>
        <v>32141.100000000002</v>
      </c>
      <c r="Q23" s="1"/>
      <c r="R23" s="5">
        <f t="shared" si="16"/>
        <v>0.26577714579998835</v>
      </c>
      <c r="S23" s="1"/>
      <c r="T23" s="1">
        <f>SUM(OSRRefT22_0x_0)</f>
        <v>39194.49</v>
      </c>
      <c r="U23" s="1"/>
      <c r="V23" s="5">
        <f t="shared" si="17"/>
        <v>2.9257064670934914</v>
      </c>
      <c r="W23" s="1"/>
      <c r="X23" s="1">
        <f t="shared" si="18"/>
        <v>-7053.3899999999958</v>
      </c>
      <c r="Y23" s="1"/>
      <c r="Z23" s="5">
        <f t="shared" si="19"/>
        <v>-0.1799587135844859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7">
        <v>1671.6</v>
      </c>
      <c r="E24" s="2"/>
      <c r="F24" s="6">
        <f t="shared" si="12"/>
        <v>2.5991153740721914E-2</v>
      </c>
      <c r="G24" s="2"/>
      <c r="H24" s="7">
        <v>1519.52</v>
      </c>
      <c r="I24" s="2"/>
      <c r="J24" s="6">
        <f t="shared" si="13"/>
        <v>0.17510731592078502</v>
      </c>
      <c r="K24" s="2"/>
      <c r="L24" s="7">
        <f t="shared" si="14"/>
        <v>152.07999999999993</v>
      </c>
      <c r="M24" s="2"/>
      <c r="N24" s="6">
        <f t="shared" si="15"/>
        <v>0.10008423712751391</v>
      </c>
      <c r="O24" s="11"/>
      <c r="P24" s="7">
        <v>4137.1099999999997</v>
      </c>
      <c r="Q24" s="2"/>
      <c r="R24" s="6">
        <f t="shared" si="16"/>
        <v>3.4210070211056549E-2</v>
      </c>
      <c r="S24" s="2"/>
      <c r="T24" s="7">
        <v>4123.41</v>
      </c>
      <c r="U24" s="2"/>
      <c r="V24" s="6">
        <f t="shared" si="17"/>
        <v>0.3077954912406814</v>
      </c>
      <c r="W24" s="2"/>
      <c r="X24" s="7">
        <f t="shared" si="18"/>
        <v>13.699999999999818</v>
      </c>
      <c r="Y24" s="2"/>
      <c r="Z24" s="6">
        <f t="shared" si="19"/>
        <v>3.3224927911606702E-3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7">
        <v>1046.57</v>
      </c>
      <c r="E25" s="2"/>
      <c r="F25" s="6">
        <f t="shared" si="12"/>
        <v>1.627276966405081E-2</v>
      </c>
      <c r="G25" s="2"/>
      <c r="H25" s="7">
        <v>788.19</v>
      </c>
      <c r="I25" s="2"/>
      <c r="J25" s="6">
        <f t="shared" si="13"/>
        <v>9.0829890580975278E-2</v>
      </c>
      <c r="K25" s="2"/>
      <c r="L25" s="7">
        <f t="shared" si="14"/>
        <v>258.37999999999988</v>
      </c>
      <c r="M25" s="2"/>
      <c r="N25" s="6">
        <f t="shared" si="15"/>
        <v>0.32781435948185067</v>
      </c>
      <c r="O25" s="11"/>
      <c r="P25" s="7">
        <v>2206.37</v>
      </c>
      <c r="Q25" s="2"/>
      <c r="R25" s="6">
        <f t="shared" si="16"/>
        <v>1.8244637587970548E-2</v>
      </c>
      <c r="S25" s="2"/>
      <c r="T25" s="7">
        <v>1808.67</v>
      </c>
      <c r="U25" s="2"/>
      <c r="V25" s="6">
        <f t="shared" si="17"/>
        <v>0.13500973008802986</v>
      </c>
      <c r="W25" s="2"/>
      <c r="X25" s="7">
        <f t="shared" si="18"/>
        <v>397.69999999999982</v>
      </c>
      <c r="Y25" s="2"/>
      <c r="Z25" s="6">
        <f t="shared" si="19"/>
        <v>0.21988533010444128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7">
        <v>5277.63</v>
      </c>
      <c r="E26" s="2"/>
      <c r="F26" s="6">
        <f t="shared" si="12"/>
        <v>8.206011768165003E-2</v>
      </c>
      <c r="G26" s="2"/>
      <c r="H26" s="7">
        <v>8711.43</v>
      </c>
      <c r="I26" s="2"/>
      <c r="J26" s="6">
        <f t="shared" si="13"/>
        <v>1.0038927589842872</v>
      </c>
      <c r="K26" s="2"/>
      <c r="L26" s="7">
        <f t="shared" si="14"/>
        <v>-3433.8</v>
      </c>
      <c r="M26" s="2"/>
      <c r="N26" s="6">
        <f t="shared" si="15"/>
        <v>-0.39417179498658661</v>
      </c>
      <c r="O26" s="11"/>
      <c r="P26" s="7">
        <v>15713.27</v>
      </c>
      <c r="Q26" s="2"/>
      <c r="R26" s="6">
        <f t="shared" si="16"/>
        <v>0.12993419801390066</v>
      </c>
      <c r="S26" s="2"/>
      <c r="T26" s="7">
        <v>20794.669999999998</v>
      </c>
      <c r="U26" s="2"/>
      <c r="V26" s="6">
        <f t="shared" si="17"/>
        <v>1.5522360541003344</v>
      </c>
      <c r="W26" s="2"/>
      <c r="X26" s="7">
        <f t="shared" si="18"/>
        <v>-5081.3999999999978</v>
      </c>
      <c r="Y26" s="2"/>
      <c r="Z26" s="6">
        <f t="shared" si="19"/>
        <v>-0.24436069435100427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7">
        <v>75.59</v>
      </c>
      <c r="E27" s="2"/>
      <c r="F27" s="6">
        <f t="shared" si="12"/>
        <v>1.1753238282251554E-3</v>
      </c>
      <c r="G27" s="2"/>
      <c r="H27" s="7">
        <v>62.52</v>
      </c>
      <c r="I27" s="2"/>
      <c r="J27" s="6">
        <f t="shared" si="13"/>
        <v>7.2047155623930449E-3</v>
      </c>
      <c r="K27" s="2"/>
      <c r="L27" s="7">
        <f t="shared" si="14"/>
        <v>13.07</v>
      </c>
      <c r="M27" s="2"/>
      <c r="N27" s="6">
        <f t="shared" si="15"/>
        <v>0.20905310300703775</v>
      </c>
      <c r="O27" s="11"/>
      <c r="P27" s="7">
        <v>159.36000000000001</v>
      </c>
      <c r="Q27" s="2"/>
      <c r="R27" s="6">
        <f t="shared" si="16"/>
        <v>1.317759689453259E-3</v>
      </c>
      <c r="S27" s="2"/>
      <c r="T27" s="7">
        <v>166.18</v>
      </c>
      <c r="U27" s="2"/>
      <c r="V27" s="6">
        <f t="shared" si="17"/>
        <v>1.2404649242829706E-2</v>
      </c>
      <c r="W27" s="2"/>
      <c r="X27" s="7">
        <f t="shared" si="18"/>
        <v>-6.8199999999999932</v>
      </c>
      <c r="Y27" s="2"/>
      <c r="Z27" s="6">
        <f t="shared" si="19"/>
        <v>-4.1039836322060375E-2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7">
        <v>870.61</v>
      </c>
      <c r="E28" s="2"/>
      <c r="F28" s="6">
        <f t="shared" si="12"/>
        <v>1.3536826009936531E-2</v>
      </c>
      <c r="G28" s="2"/>
      <c r="H28" s="7">
        <v>1527.3</v>
      </c>
      <c r="I28" s="2"/>
      <c r="J28" s="6">
        <f t="shared" si="13"/>
        <v>0.1760038720160412</v>
      </c>
      <c r="K28" s="2"/>
      <c r="L28" s="7">
        <f t="shared" si="14"/>
        <v>-656.68999999999994</v>
      </c>
      <c r="M28" s="2"/>
      <c r="N28" s="6">
        <f t="shared" si="15"/>
        <v>-0.42996791723957306</v>
      </c>
      <c r="O28" s="11"/>
      <c r="P28" s="7">
        <v>2611.83</v>
      </c>
      <c r="Q28" s="2"/>
      <c r="R28" s="6">
        <f t="shared" si="16"/>
        <v>2.159741647656065E-2</v>
      </c>
      <c r="S28" s="2"/>
      <c r="T28" s="7">
        <v>4139.8500000000004</v>
      </c>
      <c r="U28" s="2"/>
      <c r="V28" s="6">
        <f t="shared" si="17"/>
        <v>0.30902266920164012</v>
      </c>
      <c r="W28" s="2"/>
      <c r="X28" s="7">
        <f t="shared" si="18"/>
        <v>-1528.0200000000004</v>
      </c>
      <c r="Y28" s="2"/>
      <c r="Z28" s="6">
        <f t="shared" si="19"/>
        <v>-0.36910032972209145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>
        <v>1050.3399999999999</v>
      </c>
      <c r="E29" s="2"/>
      <c r="F29" s="6">
        <f t="shared" si="12"/>
        <v>1.6331388143114293E-2</v>
      </c>
      <c r="G29" s="2"/>
      <c r="H29" s="7">
        <v>1539.3</v>
      </c>
      <c r="I29" s="2"/>
      <c r="J29" s="6">
        <f t="shared" si="13"/>
        <v>0.17738673488790169</v>
      </c>
      <c r="K29" s="2"/>
      <c r="L29" s="7">
        <f t="shared" si="14"/>
        <v>-488.96000000000004</v>
      </c>
      <c r="M29" s="2"/>
      <c r="N29" s="6">
        <f t="shared" si="15"/>
        <v>-0.31765088027025273</v>
      </c>
      <c r="O29" s="11"/>
      <c r="P29" s="7">
        <v>2959.54</v>
      </c>
      <c r="Q29" s="2"/>
      <c r="R29" s="6">
        <f t="shared" si="16"/>
        <v>2.447265632106236E-2</v>
      </c>
      <c r="S29" s="2"/>
      <c r="T29" s="7">
        <v>3993.71</v>
      </c>
      <c r="U29" s="2"/>
      <c r="V29" s="6">
        <f t="shared" si="17"/>
        <v>0.29811392302070899</v>
      </c>
      <c r="W29" s="2"/>
      <c r="X29" s="7">
        <f t="shared" si="18"/>
        <v>-1034.17</v>
      </c>
      <c r="Y29" s="2"/>
      <c r="Z29" s="6">
        <f t="shared" si="19"/>
        <v>-0.25894969840073517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>
        <v>953.56</v>
      </c>
      <c r="E30" s="2"/>
      <c r="F30" s="6">
        <f t="shared" si="12"/>
        <v>1.4826588036015068E-2</v>
      </c>
      <c r="G30" s="2"/>
      <c r="H30" s="7">
        <v>986.74</v>
      </c>
      <c r="I30" s="2"/>
      <c r="J30" s="6">
        <f t="shared" si="13"/>
        <v>0.11371050918163328</v>
      </c>
      <c r="K30" s="2"/>
      <c r="L30" s="7">
        <f t="shared" si="14"/>
        <v>-33.180000000000064</v>
      </c>
      <c r="M30" s="2"/>
      <c r="N30" s="6">
        <f t="shared" si="15"/>
        <v>-3.362587915763024E-2</v>
      </c>
      <c r="O30" s="11"/>
      <c r="P30" s="7">
        <v>2709.19</v>
      </c>
      <c r="Q30" s="2"/>
      <c r="R30" s="6">
        <f t="shared" si="16"/>
        <v>2.2402493555910355E-2</v>
      </c>
      <c r="S30" s="2"/>
      <c r="T30" s="7">
        <v>2583.2800000000002</v>
      </c>
      <c r="U30" s="2"/>
      <c r="V30" s="6">
        <f t="shared" si="17"/>
        <v>0.19283116076553811</v>
      </c>
      <c r="W30" s="2"/>
      <c r="X30" s="7">
        <f t="shared" si="18"/>
        <v>125.90999999999985</v>
      </c>
      <c r="Y30" s="2"/>
      <c r="Z30" s="6">
        <f t="shared" si="19"/>
        <v>4.8740361091325693E-2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7">
        <v>665.14</v>
      </c>
      <c r="E31" s="2"/>
      <c r="F31" s="6">
        <f t="shared" si="12"/>
        <v>1.0342041157635663E-2</v>
      </c>
      <c r="G31" s="2"/>
      <c r="H31" s="7">
        <v>666.56</v>
      </c>
      <c r="I31" s="2"/>
      <c r="J31" s="6">
        <f t="shared" si="13"/>
        <v>7.681342298894285E-2</v>
      </c>
      <c r="K31" s="2"/>
      <c r="L31" s="7">
        <f t="shared" si="14"/>
        <v>-1.4199999999999591</v>
      </c>
      <c r="M31" s="2"/>
      <c r="N31" s="6">
        <f t="shared" si="15"/>
        <v>-2.1303408545366646E-3</v>
      </c>
      <c r="O31" s="11"/>
      <c r="P31" s="7">
        <v>1644.43</v>
      </c>
      <c r="Q31" s="2"/>
      <c r="R31" s="6">
        <f t="shared" si="16"/>
        <v>1.3597913944073937E-2</v>
      </c>
      <c r="S31" s="2"/>
      <c r="T31" s="7">
        <v>1584.72</v>
      </c>
      <c r="U31" s="2"/>
      <c r="V31" s="6">
        <f t="shared" si="17"/>
        <v>0.11829278943372903</v>
      </c>
      <c r="W31" s="2"/>
      <c r="X31" s="7">
        <f t="shared" si="18"/>
        <v>59.710000000000036</v>
      </c>
      <c r="Y31" s="2"/>
      <c r="Z31" s="6">
        <f t="shared" si="19"/>
        <v>3.7678580443232898E-2</v>
      </c>
    </row>
    <row r="32" spans="1:26" s="27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29287.149999999998</v>
      </c>
      <c r="E32" s="1"/>
      <c r="F32" s="5">
        <f t="shared" ref="F32:F36" si="20">IF(D$12=0,0,D32/D$12)</f>
        <v>0.4553761774812059</v>
      </c>
      <c r="G32" s="1"/>
      <c r="H32" s="1">
        <f>SUM(OSRRefH22_1x_0)</f>
        <v>18949.330000000002</v>
      </c>
      <c r="I32" s="1"/>
      <c r="J32" s="5">
        <f t="shared" ref="J32:J36" si="21">IF(H$12=0,0,H32/H$12)</f>
        <v>2.1836937419693121</v>
      </c>
      <c r="K32" s="1"/>
      <c r="L32" s="1">
        <f t="shared" ref="L32:L36" si="22">+D32-H32</f>
        <v>10337.819999999996</v>
      </c>
      <c r="M32" s="1"/>
      <c r="N32" s="5">
        <f t="shared" ref="N32:N36" si="23">IF(H32=0,0,L32/H32)</f>
        <v>0.54555068701637444</v>
      </c>
      <c r="O32" s="14"/>
      <c r="P32" s="1">
        <f>SUM(OSRRefP22_1x_0)</f>
        <v>66943.260000000009</v>
      </c>
      <c r="Q32" s="1"/>
      <c r="R32" s="5">
        <f t="shared" ref="R32:R36" si="24">IF(P$12=0,0,P32/P$12)</f>
        <v>0.55355879460710833</v>
      </c>
      <c r="S32" s="1"/>
      <c r="T32" s="1">
        <f>SUM(OSRRefT22_1x_0)</f>
        <v>55972.209999999992</v>
      </c>
      <c r="U32" s="1"/>
      <c r="V32" s="5">
        <f t="shared" ref="V32:V36" si="25">IF(T$12=0,0,T32/T$12)</f>
        <v>4.178093828354827</v>
      </c>
      <c r="W32" s="1"/>
      <c r="X32" s="1">
        <f t="shared" ref="X32:X36" si="26">+P32-T32</f>
        <v>10971.050000000017</v>
      </c>
      <c r="Y32" s="1"/>
      <c r="Z32" s="5">
        <f t="shared" ref="Z32:Z36" si="27">IF(T32=0,0,X32/T32)</f>
        <v>0.19600887654784435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>
        <v>9304.58</v>
      </c>
      <c r="E33" s="2"/>
      <c r="F33" s="6">
        <f t="shared" si="20"/>
        <v>0.14467382703568216</v>
      </c>
      <c r="G33" s="2"/>
      <c r="H33" s="7">
        <v>15148.26</v>
      </c>
      <c r="I33" s="2"/>
      <c r="J33" s="6">
        <f t="shared" si="21"/>
        <v>1.7456638606074226</v>
      </c>
      <c r="K33" s="2"/>
      <c r="L33" s="7">
        <f t="shared" si="22"/>
        <v>-5843.68</v>
      </c>
      <c r="M33" s="2"/>
      <c r="N33" s="6">
        <f t="shared" si="23"/>
        <v>-0.38576575791543055</v>
      </c>
      <c r="O33" s="11"/>
      <c r="P33" s="7">
        <v>30043.31</v>
      </c>
      <c r="Q33" s="2"/>
      <c r="R33" s="6">
        <f t="shared" si="24"/>
        <v>0.24843036430564752</v>
      </c>
      <c r="S33" s="2"/>
      <c r="T33" s="7">
        <v>43020.84</v>
      </c>
      <c r="U33" s="2"/>
      <c r="V33" s="6">
        <f t="shared" si="25"/>
        <v>3.2113276587549517</v>
      </c>
      <c r="W33" s="2"/>
      <c r="X33" s="7">
        <f t="shared" si="26"/>
        <v>-12977.529999999995</v>
      </c>
      <c r="Y33" s="2"/>
      <c r="Z33" s="6">
        <f t="shared" si="27"/>
        <v>-0.3016568249248503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7">
        <v>5113.5600000000004</v>
      </c>
      <c r="E34" s="2"/>
      <c r="F34" s="6">
        <f t="shared" si="20"/>
        <v>7.9509047692274445E-2</v>
      </c>
      <c r="G34" s="2"/>
      <c r="H34" s="7">
        <v>3115.4</v>
      </c>
      <c r="I34" s="2"/>
      <c r="J34" s="6">
        <f t="shared" si="21"/>
        <v>0.35901424924950881</v>
      </c>
      <c r="K34" s="2"/>
      <c r="L34" s="7">
        <f t="shared" si="22"/>
        <v>1998.1600000000003</v>
      </c>
      <c r="M34" s="2"/>
      <c r="N34" s="6">
        <f t="shared" si="23"/>
        <v>0.64138152404185667</v>
      </c>
      <c r="O34" s="11"/>
      <c r="P34" s="7">
        <v>11363.59</v>
      </c>
      <c r="Q34" s="2"/>
      <c r="R34" s="6">
        <f t="shared" si="24"/>
        <v>9.3966370666881016E-2</v>
      </c>
      <c r="S34" s="2"/>
      <c r="T34" s="7">
        <v>10705.6</v>
      </c>
      <c r="U34" s="2"/>
      <c r="V34" s="6">
        <f t="shared" si="25"/>
        <v>0.79912873350606384</v>
      </c>
      <c r="W34" s="2"/>
      <c r="X34" s="7">
        <f t="shared" si="26"/>
        <v>657.98999999999978</v>
      </c>
      <c r="Y34" s="2"/>
      <c r="Z34" s="6">
        <f t="shared" si="27"/>
        <v>6.1462225377372566E-2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7">
        <v>7058.85</v>
      </c>
      <c r="E35" s="2"/>
      <c r="F35" s="6">
        <f t="shared" si="20"/>
        <v>0.10975571642898714</v>
      </c>
      <c r="G35" s="2"/>
      <c r="H35" s="7">
        <v>1266.67</v>
      </c>
      <c r="I35" s="2"/>
      <c r="J35" s="6">
        <f t="shared" si="21"/>
        <v>0.14596924282495838</v>
      </c>
      <c r="K35" s="2"/>
      <c r="L35" s="7">
        <f t="shared" si="22"/>
        <v>5792.18</v>
      </c>
      <c r="M35" s="2"/>
      <c r="N35" s="6">
        <f t="shared" si="23"/>
        <v>4.5727616506272355</v>
      </c>
      <c r="O35" s="11"/>
      <c r="P35" s="7">
        <v>12147.9</v>
      </c>
      <c r="Q35" s="2"/>
      <c r="R35" s="6">
        <f t="shared" si="24"/>
        <v>0.10045188837543451</v>
      </c>
      <c r="S35" s="2"/>
      <c r="T35" s="7">
        <v>1421.77</v>
      </c>
      <c r="U35" s="2"/>
      <c r="V35" s="6">
        <f t="shared" si="25"/>
        <v>0.10612924632313148</v>
      </c>
      <c r="W35" s="2"/>
      <c r="X35" s="7">
        <f t="shared" si="26"/>
        <v>10726.13</v>
      </c>
      <c r="Y35" s="2"/>
      <c r="Z35" s="6">
        <f t="shared" si="27"/>
        <v>7.5442089789487747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7">
        <v>7810.16</v>
      </c>
      <c r="E36" s="2"/>
      <c r="F36" s="6">
        <f t="shared" si="20"/>
        <v>0.12143758632426219</v>
      </c>
      <c r="G36" s="2"/>
      <c r="H36" s="7">
        <v>-581</v>
      </c>
      <c r="I36" s="2"/>
      <c r="J36" s="6">
        <f t="shared" si="21"/>
        <v>-6.6953610712577716E-2</v>
      </c>
      <c r="K36" s="2"/>
      <c r="L36" s="7">
        <f t="shared" si="22"/>
        <v>8391.16</v>
      </c>
      <c r="M36" s="2"/>
      <c r="N36" s="6">
        <f t="shared" si="23"/>
        <v>-14.442616179001721</v>
      </c>
      <c r="O36" s="11"/>
      <c r="P36" s="7">
        <v>13388.46</v>
      </c>
      <c r="Q36" s="2"/>
      <c r="R36" s="6">
        <f t="shared" si="24"/>
        <v>0.11071017125914519</v>
      </c>
      <c r="S36" s="2"/>
      <c r="T36" s="7">
        <v>824</v>
      </c>
      <c r="U36" s="2"/>
      <c r="V36" s="6">
        <f t="shared" si="25"/>
        <v>6.1508189770680448E-2</v>
      </c>
      <c r="W36" s="2"/>
      <c r="X36" s="7">
        <f t="shared" si="26"/>
        <v>12564.46</v>
      </c>
      <c r="Y36" s="2"/>
      <c r="Z36" s="6">
        <f t="shared" si="27"/>
        <v>15.248131067961165</v>
      </c>
    </row>
    <row r="37" spans="1:26" s="27" customFormat="1" outlineLevel="1" collapsed="1" x14ac:dyDescent="0.25">
      <c r="A37" s="29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66.12</v>
      </c>
      <c r="E37" s="1"/>
      <c r="F37" s="5">
        <f t="shared" ref="F37:F45" si="28">IF(D$12=0,0,D37/D$12)</f>
        <v>1.0280779404980456E-3</v>
      </c>
      <c r="G37" s="1"/>
      <c r="H37" s="1">
        <f>SUM(OSRRefH22_2x_0)</f>
        <v>49.61</v>
      </c>
      <c r="I37" s="1"/>
      <c r="J37" s="5">
        <f t="shared" ref="J37:J45" si="29">IF(H$12=0,0,H37/H$12)</f>
        <v>5.7169855894164895E-3</v>
      </c>
      <c r="K37" s="1"/>
      <c r="L37" s="1">
        <f t="shared" ref="L37:L45" si="30">+D37-H37</f>
        <v>16.510000000000005</v>
      </c>
      <c r="M37" s="1"/>
      <c r="N37" s="5">
        <f t="shared" ref="N37:N45" si="31">IF(H37=0,0,L37/H37)</f>
        <v>0.33279580729691605</v>
      </c>
      <c r="O37" s="14"/>
      <c r="P37" s="1">
        <f>SUM(OSRRefP22_2x_0)</f>
        <v>209.45</v>
      </c>
      <c r="Q37" s="1"/>
      <c r="R37" s="5">
        <f t="shared" ref="R37:R45" si="32">IF(P$12=0,0,P37/P$12)</f>
        <v>1.7319576239707896E-3</v>
      </c>
      <c r="S37" s="1"/>
      <c r="T37" s="1">
        <f>SUM(OSRRefT22_2x_0)</f>
        <v>95.58</v>
      </c>
      <c r="U37" s="1"/>
      <c r="V37" s="5">
        <f t="shared" ref="V37:V45" si="33">IF(T$12=0,0,T37/T$12)</f>
        <v>7.1346514299534432E-3</v>
      </c>
      <c r="W37" s="1"/>
      <c r="X37" s="1">
        <f t="shared" ref="X37:X45" si="34">+P37-T37</f>
        <v>113.86999999999999</v>
      </c>
      <c r="Y37" s="1"/>
      <c r="Z37" s="5">
        <f t="shared" ref="Z37:Z45" si="35">IF(T37=0,0,X37/T37)</f>
        <v>1.191358024691358</v>
      </c>
    </row>
    <row r="38" spans="1:26" s="24" customFormat="1" hidden="1" outlineLevel="2" x14ac:dyDescent="0.25">
      <c r="A38" s="28"/>
      <c r="B38" s="11" t="str">
        <f>CONCATENATE("          ", "6362", " - ", "ADVERTISING EXPENSE")</f>
        <v xml:space="preserve">          6362 - ADVERTISING EXPENSE</v>
      </c>
      <c r="C38" s="11"/>
      <c r="D38" s="7">
        <v>66.12</v>
      </c>
      <c r="E38" s="2"/>
      <c r="F38" s="6">
        <f t="shared" si="28"/>
        <v>1.0280779404980456E-3</v>
      </c>
      <c r="G38" s="2"/>
      <c r="H38" s="7">
        <v>49.61</v>
      </c>
      <c r="I38" s="2"/>
      <c r="J38" s="6">
        <f t="shared" si="29"/>
        <v>5.7169855894164895E-3</v>
      </c>
      <c r="K38" s="2"/>
      <c r="L38" s="7">
        <f t="shared" si="30"/>
        <v>16.510000000000005</v>
      </c>
      <c r="M38" s="2"/>
      <c r="N38" s="6">
        <f t="shared" si="31"/>
        <v>0.33279580729691605</v>
      </c>
      <c r="O38" s="11"/>
      <c r="P38" s="7">
        <v>209.45</v>
      </c>
      <c r="Q38" s="2"/>
      <c r="R38" s="6">
        <f t="shared" si="32"/>
        <v>1.7319576239707896E-3</v>
      </c>
      <c r="S38" s="2"/>
      <c r="T38" s="7">
        <v>95.58</v>
      </c>
      <c r="U38" s="2"/>
      <c r="V38" s="6">
        <f t="shared" si="33"/>
        <v>7.1346514299534432E-3</v>
      </c>
      <c r="W38" s="2"/>
      <c r="X38" s="7">
        <f t="shared" si="34"/>
        <v>113.86999999999999</v>
      </c>
      <c r="Y38" s="2"/>
      <c r="Z38" s="6">
        <f t="shared" si="35"/>
        <v>1.191358024691358</v>
      </c>
    </row>
    <row r="39" spans="1:26" s="27" customFormat="1" outlineLevel="1" collapsed="1" x14ac:dyDescent="0.25">
      <c r="A39" s="29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-15.54</v>
      </c>
      <c r="E39" s="1"/>
      <c r="F39" s="5">
        <f t="shared" si="28"/>
        <v>-2.4162630361977659E-4</v>
      </c>
      <c r="G39" s="1"/>
      <c r="H39" s="1">
        <f>SUM(OSRRefH22_3x_0)</f>
        <v>-193.38</v>
      </c>
      <c r="I39" s="1"/>
      <c r="J39" s="5">
        <f t="shared" si="29"/>
        <v>-2.2284835180031461E-2</v>
      </c>
      <c r="K39" s="1"/>
      <c r="L39" s="1">
        <f t="shared" si="30"/>
        <v>177.84</v>
      </c>
      <c r="M39" s="1"/>
      <c r="N39" s="5">
        <f t="shared" si="31"/>
        <v>-0.91964008687558174</v>
      </c>
      <c r="O39" s="14"/>
      <c r="P39" s="1">
        <f>SUM(OSRRefP22_3x_0)</f>
        <v>-20.78</v>
      </c>
      <c r="Q39" s="1"/>
      <c r="R39" s="5">
        <f t="shared" si="32"/>
        <v>-1.7183136512825503E-4</v>
      </c>
      <c r="S39" s="1"/>
      <c r="T39" s="1">
        <f>SUM(OSRRefT22_3x_0)</f>
        <v>-193.52</v>
      </c>
      <c r="U39" s="1"/>
      <c r="V39" s="5">
        <f t="shared" si="33"/>
        <v>-1.4445467092745244E-2</v>
      </c>
      <c r="W39" s="1"/>
      <c r="X39" s="1">
        <f t="shared" si="34"/>
        <v>172.74</v>
      </c>
      <c r="Y39" s="1"/>
      <c r="Z39" s="5">
        <f t="shared" si="35"/>
        <v>-0.89262091773460106</v>
      </c>
    </row>
    <row r="40" spans="1:26" s="24" customFormat="1" hidden="1" outlineLevel="2" x14ac:dyDescent="0.25">
      <c r="A40" s="28"/>
      <c r="B40" s="11" t="str">
        <f>CONCATENATE("          ", "6272", " - ", "CASH (OVER/SHORT)")</f>
        <v xml:space="preserve">          6272 - CASH (OVER/SHORT)</v>
      </c>
      <c r="C40" s="11"/>
      <c r="D40" s="7">
        <v>-15.54</v>
      </c>
      <c r="E40" s="2"/>
      <c r="F40" s="6">
        <f t="shared" si="28"/>
        <v>-2.4162630361977659E-4</v>
      </c>
      <c r="G40" s="2"/>
      <c r="H40" s="7">
        <v>-193.38</v>
      </c>
      <c r="I40" s="2"/>
      <c r="J40" s="6">
        <f t="shared" si="29"/>
        <v>-2.2284835180031461E-2</v>
      </c>
      <c r="K40" s="2"/>
      <c r="L40" s="7">
        <f t="shared" si="30"/>
        <v>177.84</v>
      </c>
      <c r="M40" s="2"/>
      <c r="N40" s="6">
        <f t="shared" si="31"/>
        <v>-0.91964008687558174</v>
      </c>
      <c r="O40" s="11"/>
      <c r="P40" s="7">
        <v>-20.78</v>
      </c>
      <c r="Q40" s="2"/>
      <c r="R40" s="6">
        <f t="shared" si="32"/>
        <v>-1.7183136512825503E-4</v>
      </c>
      <c r="S40" s="2"/>
      <c r="T40" s="7">
        <v>-193.52</v>
      </c>
      <c r="U40" s="2"/>
      <c r="V40" s="6">
        <f t="shared" si="33"/>
        <v>-1.4445467092745244E-2</v>
      </c>
      <c r="W40" s="2"/>
      <c r="X40" s="7">
        <f t="shared" si="34"/>
        <v>172.74</v>
      </c>
      <c r="Y40" s="2"/>
      <c r="Z40" s="6">
        <f t="shared" si="35"/>
        <v>-0.89262091773460106</v>
      </c>
    </row>
    <row r="41" spans="1:26" s="27" customFormat="1" outlineLevel="1" collapsed="1" x14ac:dyDescent="0.25">
      <c r="A41" s="29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1941.37</v>
      </c>
      <c r="E41" s="1"/>
      <c r="F41" s="5">
        <f t="shared" si="28"/>
        <v>3.0185717957421213E-2</v>
      </c>
      <c r="G41" s="1"/>
      <c r="H41" s="1">
        <f>SUM(OSRRefH22_4x_0)</f>
        <v>64.25</v>
      </c>
      <c r="I41" s="1"/>
      <c r="J41" s="5">
        <f t="shared" si="29"/>
        <v>7.4040782930862624E-3</v>
      </c>
      <c r="K41" s="1"/>
      <c r="L41" s="1">
        <f t="shared" si="30"/>
        <v>1877.12</v>
      </c>
      <c r="M41" s="1"/>
      <c r="N41" s="5">
        <f t="shared" si="31"/>
        <v>29.215875486381321</v>
      </c>
      <c r="O41" s="14"/>
      <c r="P41" s="1">
        <f>SUM(OSRRefP22_4x_0)</f>
        <v>4008.09</v>
      </c>
      <c r="Q41" s="1"/>
      <c r="R41" s="5">
        <f t="shared" si="32"/>
        <v>3.3143194237579769E-2</v>
      </c>
      <c r="S41" s="1"/>
      <c r="T41" s="1">
        <f>SUM(OSRRefT22_4x_0)</f>
        <v>65.510000000000005</v>
      </c>
      <c r="U41" s="1"/>
      <c r="V41" s="5">
        <f t="shared" si="33"/>
        <v>4.8900503784918403E-3</v>
      </c>
      <c r="W41" s="1"/>
      <c r="X41" s="1">
        <f t="shared" si="34"/>
        <v>3942.58</v>
      </c>
      <c r="Y41" s="1"/>
      <c r="Z41" s="5">
        <f t="shared" si="35"/>
        <v>60.182872843840627</v>
      </c>
    </row>
    <row r="42" spans="1:26" s="24" customFormat="1" hidden="1" outlineLevel="2" x14ac:dyDescent="0.25">
      <c r="A42" s="28"/>
      <c r="B42" s="11" t="str">
        <f>CONCATENATE("          ", "6381", " - ", "BANK/CREDIT CARD FEES")</f>
        <v xml:space="preserve">          6381 - BANK/CREDIT CARD FEES</v>
      </c>
      <c r="C42" s="11"/>
      <c r="D42" s="7">
        <v>1941.37</v>
      </c>
      <c r="E42" s="2"/>
      <c r="F42" s="6">
        <f t="shared" si="28"/>
        <v>3.0185717957421213E-2</v>
      </c>
      <c r="G42" s="2"/>
      <c r="H42" s="7">
        <v>64.25</v>
      </c>
      <c r="I42" s="2"/>
      <c r="J42" s="6">
        <f t="shared" si="29"/>
        <v>7.4040782930862624E-3</v>
      </c>
      <c r="K42" s="2"/>
      <c r="L42" s="7">
        <f t="shared" si="30"/>
        <v>1877.12</v>
      </c>
      <c r="M42" s="2"/>
      <c r="N42" s="6">
        <f t="shared" si="31"/>
        <v>29.215875486381321</v>
      </c>
      <c r="O42" s="11"/>
      <c r="P42" s="7">
        <v>4008.09</v>
      </c>
      <c r="Q42" s="2"/>
      <c r="R42" s="6">
        <f t="shared" si="32"/>
        <v>3.3143194237579769E-2</v>
      </c>
      <c r="S42" s="2"/>
      <c r="T42" s="7">
        <v>65.510000000000005</v>
      </c>
      <c r="U42" s="2"/>
      <c r="V42" s="6">
        <f t="shared" si="33"/>
        <v>4.8900503784918403E-3</v>
      </c>
      <c r="W42" s="2"/>
      <c r="X42" s="7">
        <f t="shared" si="34"/>
        <v>3942.58</v>
      </c>
      <c r="Y42" s="2"/>
      <c r="Z42" s="6">
        <f t="shared" si="35"/>
        <v>60.182872843840627</v>
      </c>
    </row>
    <row r="43" spans="1:26" s="27" customFormat="1" outlineLevel="1" collapsed="1" x14ac:dyDescent="0.25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14007.34</v>
      </c>
      <c r="E43" s="1"/>
      <c r="F43" s="5">
        <f t="shared" si="28"/>
        <v>0.21779548183690101</v>
      </c>
      <c r="G43" s="1"/>
      <c r="H43" s="1">
        <f>SUM(OSRRefH22_5x_0)</f>
        <v>13959.7</v>
      </c>
      <c r="I43" s="1"/>
      <c r="J43" s="5">
        <f t="shared" si="29"/>
        <v>1.6086959026925494</v>
      </c>
      <c r="K43" s="1"/>
      <c r="L43" s="1">
        <f t="shared" si="30"/>
        <v>47.639999999999418</v>
      </c>
      <c r="M43" s="1"/>
      <c r="N43" s="5">
        <f t="shared" si="31"/>
        <v>3.4126807882690468E-3</v>
      </c>
      <c r="O43" s="14"/>
      <c r="P43" s="1">
        <f>SUM(OSRRefP22_5x_0)</f>
        <v>42022.02</v>
      </c>
      <c r="Q43" s="1"/>
      <c r="R43" s="5">
        <f t="shared" si="32"/>
        <v>0.34748320799070426</v>
      </c>
      <c r="S43" s="1"/>
      <c r="T43" s="1">
        <f>SUM(OSRRefT22_5x_0)</f>
        <v>41614.879999999997</v>
      </c>
      <c r="U43" s="1"/>
      <c r="V43" s="5">
        <f t="shared" si="33"/>
        <v>3.1063785635001144</v>
      </c>
      <c r="W43" s="1"/>
      <c r="X43" s="1">
        <f t="shared" si="34"/>
        <v>407.13999999999942</v>
      </c>
      <c r="Y43" s="1"/>
      <c r="Z43" s="5">
        <f t="shared" si="35"/>
        <v>9.7835197410156994E-3</v>
      </c>
    </row>
    <row r="44" spans="1:26" s="24" customFormat="1" hidden="1" outlineLevel="2" x14ac:dyDescent="0.25">
      <c r="A44" s="28"/>
      <c r="B44" s="11" t="str">
        <f>CONCATENATE("          ", "6321", " - ", "BUILDING DEPRECIATION")</f>
        <v xml:space="preserve">          6321 - BUILDING DEPRECIATION</v>
      </c>
      <c r="C44" s="11"/>
      <c r="D44" s="7">
        <v>10597.26</v>
      </c>
      <c r="E44" s="2"/>
      <c r="F44" s="6">
        <f t="shared" si="28"/>
        <v>0.16477327942713729</v>
      </c>
      <c r="G44" s="2"/>
      <c r="H44" s="7">
        <v>10597.26</v>
      </c>
      <c r="I44" s="2"/>
      <c r="J44" s="6">
        <f t="shared" si="29"/>
        <v>1.2212131164543396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>
        <v>31791.78</v>
      </c>
      <c r="Q44" s="2"/>
      <c r="R44" s="6">
        <f t="shared" si="32"/>
        <v>0.26288859274577259</v>
      </c>
      <c r="S44" s="2"/>
      <c r="T44" s="7">
        <v>31791.78</v>
      </c>
      <c r="U44" s="2"/>
      <c r="V44" s="6">
        <f t="shared" si="33"/>
        <v>2.373124802655004</v>
      </c>
      <c r="W44" s="2"/>
      <c r="X44" s="7">
        <f t="shared" si="34"/>
        <v>0</v>
      </c>
      <c r="Y44" s="2"/>
      <c r="Z44" s="6">
        <f t="shared" si="35"/>
        <v>0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3410.08</v>
      </c>
      <c r="E45" s="2"/>
      <c r="F45" s="6">
        <f t="shared" si="28"/>
        <v>5.3022202409763693E-2</v>
      </c>
      <c r="G45" s="2"/>
      <c r="H45" s="7">
        <v>3362.44</v>
      </c>
      <c r="I45" s="2"/>
      <c r="J45" s="6">
        <f t="shared" si="29"/>
        <v>0.3874827862382097</v>
      </c>
      <c r="K45" s="2"/>
      <c r="L45" s="7">
        <f t="shared" si="30"/>
        <v>47.639999999999873</v>
      </c>
      <c r="M45" s="2"/>
      <c r="N45" s="6">
        <f t="shared" si="31"/>
        <v>1.4168282556714729E-2</v>
      </c>
      <c r="O45" s="11"/>
      <c r="P45" s="7">
        <v>10230.24</v>
      </c>
      <c r="Q45" s="2"/>
      <c r="R45" s="6">
        <f t="shared" si="32"/>
        <v>8.4594615244931642E-2</v>
      </c>
      <c r="S45" s="2"/>
      <c r="T45" s="7">
        <v>9823.1</v>
      </c>
      <c r="U45" s="2"/>
      <c r="V45" s="6">
        <f t="shared" si="33"/>
        <v>0.73325376084511062</v>
      </c>
      <c r="W45" s="2"/>
      <c r="X45" s="7">
        <f t="shared" si="34"/>
        <v>407.13999999999942</v>
      </c>
      <c r="Y45" s="2"/>
      <c r="Z45" s="6">
        <f t="shared" si="35"/>
        <v>4.1447200985432239E-2</v>
      </c>
    </row>
    <row r="46" spans="1:26" s="27" customFormat="1" outlineLevel="1" collapsed="1" x14ac:dyDescent="0.25">
      <c r="A46" s="29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0</v>
      </c>
      <c r="E46" s="1"/>
      <c r="F46" s="5">
        <f t="shared" ref="F46:F56" si="36">IF(D$12=0,0,D46/D$12)</f>
        <v>0</v>
      </c>
      <c r="G46" s="1"/>
      <c r="H46" s="1">
        <f>SUM(OSRRefH22_6x_0)</f>
        <v>0</v>
      </c>
      <c r="I46" s="1"/>
      <c r="J46" s="5">
        <f t="shared" ref="J46:J56" si="37">IF(H$12=0,0,H46/H$12)</f>
        <v>0</v>
      </c>
      <c r="K46" s="1"/>
      <c r="L46" s="1">
        <f t="shared" ref="L46:L56" si="38">+D46-H46</f>
        <v>0</v>
      </c>
      <c r="M46" s="1"/>
      <c r="N46" s="5">
        <f t="shared" ref="N46:N56" si="39">IF(H46=0,0,L46/H46)</f>
        <v>0</v>
      </c>
      <c r="O46" s="14"/>
      <c r="P46" s="1">
        <f>SUM(OSRRefP22_6x_0)</f>
        <v>490.07</v>
      </c>
      <c r="Q46" s="1"/>
      <c r="R46" s="5">
        <f t="shared" ref="R46:R56" si="40">IF(P$12=0,0,P46/P$12)</f>
        <v>4.052425269894318E-3</v>
      </c>
      <c r="S46" s="1"/>
      <c r="T46" s="1">
        <f>SUM(OSRRefT22_6x_0)</f>
        <v>178.15</v>
      </c>
      <c r="U46" s="1"/>
      <c r="V46" s="5">
        <f t="shared" ref="V46:V56" si="41">IF(T$12=0,0,T46/T$12)</f>
        <v>1.329816020345476E-2</v>
      </c>
      <c r="W46" s="1"/>
      <c r="X46" s="1">
        <f t="shared" ref="X46:X56" si="42">+P46-T46</f>
        <v>311.91999999999996</v>
      </c>
      <c r="Y46" s="1"/>
      <c r="Z46" s="5">
        <f t="shared" ref="Z46:Z56" si="43">IF(T46=0,0,X46/T46)</f>
        <v>1.7508840864440076</v>
      </c>
    </row>
    <row r="47" spans="1:26" s="24" customFormat="1" hidden="1" outlineLevel="2" x14ac:dyDescent="0.25">
      <c r="A47" s="28"/>
      <c r="B47" s="11" t="str">
        <f>CONCATENATE("          ", "6351", " - ", "EQUIPMENT RENTAL")</f>
        <v xml:space="preserve">          6351 - EQUIPMENT RENTAL</v>
      </c>
      <c r="C47" s="11"/>
      <c r="D47" s="7"/>
      <c r="E47" s="2"/>
      <c r="F47" s="6">
        <f t="shared" si="36"/>
        <v>0</v>
      </c>
      <c r="G47" s="2"/>
      <c r="H47" s="7"/>
      <c r="I47" s="2"/>
      <c r="J47" s="6">
        <f t="shared" si="37"/>
        <v>0</v>
      </c>
      <c r="K47" s="2"/>
      <c r="L47" s="7">
        <f t="shared" si="38"/>
        <v>0</v>
      </c>
      <c r="M47" s="2"/>
      <c r="N47" s="6">
        <f t="shared" si="39"/>
        <v>0</v>
      </c>
      <c r="O47" s="11"/>
      <c r="P47" s="7">
        <v>490.07</v>
      </c>
      <c r="Q47" s="2"/>
      <c r="R47" s="6">
        <f t="shared" si="40"/>
        <v>4.052425269894318E-3</v>
      </c>
      <c r="S47" s="2"/>
      <c r="T47" s="7">
        <v>178.15</v>
      </c>
      <c r="U47" s="2"/>
      <c r="V47" s="6">
        <f t="shared" si="41"/>
        <v>1.329816020345476E-2</v>
      </c>
      <c r="W47" s="2"/>
      <c r="X47" s="7">
        <f t="shared" si="42"/>
        <v>311.91999999999996</v>
      </c>
      <c r="Y47" s="2"/>
      <c r="Z47" s="6">
        <f t="shared" si="43"/>
        <v>1.7508840864440076</v>
      </c>
    </row>
    <row r="48" spans="1:26" s="27" customFormat="1" outlineLevel="1" collapsed="1" x14ac:dyDescent="0.25">
      <c r="A48" s="29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0</v>
      </c>
      <c r="E48" s="1"/>
      <c r="F48" s="5">
        <f t="shared" si="36"/>
        <v>0</v>
      </c>
      <c r="G48" s="1"/>
      <c r="H48" s="1">
        <f>SUM(OSRRefH22_7x_0)</f>
        <v>550.52</v>
      </c>
      <c r="I48" s="1"/>
      <c r="J48" s="5">
        <f t="shared" si="37"/>
        <v>6.3441139018052123E-2</v>
      </c>
      <c r="K48" s="1"/>
      <c r="L48" s="1">
        <f t="shared" si="38"/>
        <v>-550.52</v>
      </c>
      <c r="M48" s="1"/>
      <c r="N48" s="5">
        <f t="shared" si="39"/>
        <v>-1</v>
      </c>
      <c r="O48" s="14"/>
      <c r="P48" s="1">
        <f>SUM(OSRRefP22_7x_0)</f>
        <v>1507.92</v>
      </c>
      <c r="Q48" s="1"/>
      <c r="R48" s="5">
        <f t="shared" si="40"/>
        <v>1.2469102603666906E-2</v>
      </c>
      <c r="S48" s="1"/>
      <c r="T48" s="1">
        <f>SUM(OSRRefT22_7x_0)</f>
        <v>1955.07</v>
      </c>
      <c r="U48" s="1"/>
      <c r="V48" s="5">
        <f t="shared" si="41"/>
        <v>0.14593788419291776</v>
      </c>
      <c r="W48" s="1"/>
      <c r="X48" s="1">
        <f t="shared" si="42"/>
        <v>-447.14999999999986</v>
      </c>
      <c r="Y48" s="1"/>
      <c r="Z48" s="5">
        <f t="shared" si="43"/>
        <v>-0.22871303840783189</v>
      </c>
    </row>
    <row r="49" spans="1:26" s="24" customFormat="1" hidden="1" outlineLevel="2" x14ac:dyDescent="0.25">
      <c r="A49" s="28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36"/>
        <v>0</v>
      </c>
      <c r="G49" s="2"/>
      <c r="H49" s="7">
        <v>550.52</v>
      </c>
      <c r="I49" s="2"/>
      <c r="J49" s="6">
        <f t="shared" si="37"/>
        <v>6.3441139018052123E-2</v>
      </c>
      <c r="K49" s="2"/>
      <c r="L49" s="7">
        <f t="shared" si="38"/>
        <v>-550.52</v>
      </c>
      <c r="M49" s="2"/>
      <c r="N49" s="6">
        <f t="shared" si="39"/>
        <v>-1</v>
      </c>
      <c r="O49" s="11"/>
      <c r="P49" s="7">
        <v>1507.92</v>
      </c>
      <c r="Q49" s="2"/>
      <c r="R49" s="6">
        <f t="shared" si="40"/>
        <v>1.2469102603666906E-2</v>
      </c>
      <c r="S49" s="2"/>
      <c r="T49" s="7">
        <v>1955.07</v>
      </c>
      <c r="U49" s="2"/>
      <c r="V49" s="6">
        <f t="shared" si="41"/>
        <v>0.14593788419291776</v>
      </c>
      <c r="W49" s="2"/>
      <c r="X49" s="7">
        <f t="shared" si="42"/>
        <v>-447.14999999999986</v>
      </c>
      <c r="Y49" s="2"/>
      <c r="Z49" s="6">
        <f t="shared" si="43"/>
        <v>-0.22871303840783189</v>
      </c>
    </row>
    <row r="50" spans="1:26" s="27" customFormat="1" outlineLevel="1" collapsed="1" x14ac:dyDescent="0.25">
      <c r="A50" s="29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SUM(OSRRefD22_8x_0)</f>
        <v>871.61</v>
      </c>
      <c r="E50" s="1"/>
      <c r="F50" s="5">
        <f t="shared" si="36"/>
        <v>1.3552374678123133E-2</v>
      </c>
      <c r="G50" s="1"/>
      <c r="H50" s="1">
        <f>SUM(OSRRefH22_8x_0)</f>
        <v>641.28</v>
      </c>
      <c r="I50" s="1"/>
      <c r="J50" s="5">
        <f t="shared" si="37"/>
        <v>7.3900191872223464E-2</v>
      </c>
      <c r="K50" s="1"/>
      <c r="L50" s="1">
        <f t="shared" si="38"/>
        <v>230.33000000000004</v>
      </c>
      <c r="M50" s="1"/>
      <c r="N50" s="5">
        <f t="shared" si="39"/>
        <v>0.35917228043912186</v>
      </c>
      <c r="O50" s="14"/>
      <c r="P50" s="1">
        <f>SUM(OSRRefP22_8x_0)</f>
        <v>2614.83</v>
      </c>
      <c r="Q50" s="1"/>
      <c r="R50" s="5">
        <f t="shared" si="40"/>
        <v>2.1622223699630176E-2</v>
      </c>
      <c r="S50" s="1"/>
      <c r="T50" s="1">
        <f>SUM(OSRRefT22_8x_0)</f>
        <v>1923.84</v>
      </c>
      <c r="U50" s="1"/>
      <c r="V50" s="5">
        <f t="shared" si="41"/>
        <v>0.14360669394226441</v>
      </c>
      <c r="W50" s="1"/>
      <c r="X50" s="1">
        <f t="shared" si="42"/>
        <v>690.99</v>
      </c>
      <c r="Y50" s="1"/>
      <c r="Z50" s="5">
        <f t="shared" si="43"/>
        <v>0.35917228043912175</v>
      </c>
    </row>
    <row r="51" spans="1:26" s="24" customFormat="1" hidden="1" outlineLevel="2" x14ac:dyDescent="0.25">
      <c r="A51" s="28"/>
      <c r="B51" s="11" t="str">
        <f>CONCATENATE("          ", "6314", " - ", "LIABILITY INSURANCE")</f>
        <v xml:space="preserve">          6314 - LIABILITY INSURANCE</v>
      </c>
      <c r="C51" s="11"/>
      <c r="D51" s="7">
        <v>871.61</v>
      </c>
      <c r="E51" s="2"/>
      <c r="F51" s="6">
        <f t="shared" si="36"/>
        <v>1.3552374678123133E-2</v>
      </c>
      <c r="G51" s="2"/>
      <c r="H51" s="7">
        <v>641.28</v>
      </c>
      <c r="I51" s="2"/>
      <c r="J51" s="6">
        <f t="shared" si="37"/>
        <v>7.3900191872223464E-2</v>
      </c>
      <c r="K51" s="2"/>
      <c r="L51" s="7">
        <f t="shared" si="38"/>
        <v>230.33000000000004</v>
      </c>
      <c r="M51" s="2"/>
      <c r="N51" s="6">
        <f t="shared" si="39"/>
        <v>0.35917228043912186</v>
      </c>
      <c r="O51" s="11"/>
      <c r="P51" s="7">
        <v>2614.83</v>
      </c>
      <c r="Q51" s="2"/>
      <c r="R51" s="6">
        <f t="shared" si="40"/>
        <v>2.1622223699630176E-2</v>
      </c>
      <c r="S51" s="2"/>
      <c r="T51" s="7">
        <v>1923.84</v>
      </c>
      <c r="U51" s="2"/>
      <c r="V51" s="6">
        <f t="shared" si="41"/>
        <v>0.14360669394226441</v>
      </c>
      <c r="W51" s="2"/>
      <c r="X51" s="7">
        <f t="shared" si="42"/>
        <v>690.99</v>
      </c>
      <c r="Y51" s="2"/>
      <c r="Z51" s="6">
        <f t="shared" si="43"/>
        <v>0.35917228043912175</v>
      </c>
    </row>
    <row r="52" spans="1:26" s="27" customFormat="1" outlineLevel="1" collapsed="1" x14ac:dyDescent="0.25">
      <c r="A52" s="29"/>
      <c r="B52" s="14" t="str">
        <f>CONCATENATE("     ","Interest                                          ")</f>
        <v xml:space="preserve">     Interest                                          </v>
      </c>
      <c r="C52" s="14"/>
      <c r="D52" s="1">
        <f>SUM(OSRRefD22_9x_0)</f>
        <v>7253</v>
      </c>
      <c r="E52" s="1"/>
      <c r="F52" s="5">
        <f t="shared" si="36"/>
        <v>0.11277449035741567</v>
      </c>
      <c r="G52" s="1"/>
      <c r="H52" s="1">
        <f>SUM(OSRRefH22_9x_0)</f>
        <v>7510</v>
      </c>
      <c r="I52" s="1"/>
      <c r="J52" s="5">
        <f t="shared" si="37"/>
        <v>0.86544168063934368</v>
      </c>
      <c r="K52" s="1"/>
      <c r="L52" s="1">
        <f t="shared" si="38"/>
        <v>-257</v>
      </c>
      <c r="M52" s="1"/>
      <c r="N52" s="5">
        <f t="shared" si="39"/>
        <v>-3.4221038615179764E-2</v>
      </c>
      <c r="O52" s="14"/>
      <c r="P52" s="1">
        <f>SUM(OSRRefP22_9x_0)</f>
        <v>21759</v>
      </c>
      <c r="Q52" s="1"/>
      <c r="R52" s="5">
        <f t="shared" si="40"/>
        <v>0.17992678892327724</v>
      </c>
      <c r="S52" s="1"/>
      <c r="T52" s="1">
        <f>SUM(OSRRefT22_9x_0)</f>
        <v>22530</v>
      </c>
      <c r="U52" s="1"/>
      <c r="V52" s="5">
        <f t="shared" si="41"/>
        <v>1.6817712567153282</v>
      </c>
      <c r="W52" s="1"/>
      <c r="X52" s="1">
        <f t="shared" si="42"/>
        <v>-771</v>
      </c>
      <c r="Y52" s="1"/>
      <c r="Z52" s="5">
        <f t="shared" si="43"/>
        <v>-3.4221038615179764E-2</v>
      </c>
    </row>
    <row r="53" spans="1:26" s="24" customFormat="1" hidden="1" outlineLevel="2" x14ac:dyDescent="0.25">
      <c r="A53" s="28"/>
      <c r="B53" s="11" t="str">
        <f>CONCATENATE("          ", "6401", " - ", "INTEREST EXPENSE")</f>
        <v xml:space="preserve">          6401 - INTEREST EXPENSE</v>
      </c>
      <c r="C53" s="11"/>
      <c r="D53" s="7">
        <v>7253</v>
      </c>
      <c r="E53" s="2"/>
      <c r="F53" s="6">
        <f t="shared" si="36"/>
        <v>0.11277449035741567</v>
      </c>
      <c r="G53" s="2"/>
      <c r="H53" s="7">
        <v>7510</v>
      </c>
      <c r="I53" s="2"/>
      <c r="J53" s="6">
        <f t="shared" si="37"/>
        <v>0.86544168063934368</v>
      </c>
      <c r="K53" s="2"/>
      <c r="L53" s="7">
        <f t="shared" si="38"/>
        <v>-257</v>
      </c>
      <c r="M53" s="2"/>
      <c r="N53" s="6">
        <f t="shared" si="39"/>
        <v>-3.4221038615179764E-2</v>
      </c>
      <c r="O53" s="11"/>
      <c r="P53" s="7">
        <v>21759</v>
      </c>
      <c r="Q53" s="2"/>
      <c r="R53" s="6">
        <f t="shared" si="40"/>
        <v>0.17992678892327724</v>
      </c>
      <c r="S53" s="2"/>
      <c r="T53" s="7">
        <v>22530</v>
      </c>
      <c r="U53" s="2"/>
      <c r="V53" s="6">
        <f t="shared" si="41"/>
        <v>1.6817712567153282</v>
      </c>
      <c r="W53" s="2"/>
      <c r="X53" s="7">
        <f t="shared" si="42"/>
        <v>-771</v>
      </c>
      <c r="Y53" s="2"/>
      <c r="Z53" s="6">
        <f t="shared" si="43"/>
        <v>-3.4221038615179764E-2</v>
      </c>
    </row>
    <row r="54" spans="1:26" s="27" customFormat="1" outlineLevel="1" collapsed="1" x14ac:dyDescent="0.25">
      <c r="A54" s="29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SUM(OSRRefD22_10x_0)</f>
        <v>2333.0600000000004</v>
      </c>
      <c r="E54" s="1"/>
      <c r="F54" s="5">
        <f t="shared" si="36"/>
        <v>3.6275975799430892E-2</v>
      </c>
      <c r="G54" s="1"/>
      <c r="H54" s="1">
        <f>SUM(OSRRefH22_10x_0)</f>
        <v>1350.46</v>
      </c>
      <c r="I54" s="1"/>
      <c r="J54" s="5">
        <f t="shared" si="37"/>
        <v>0.15562508282772411</v>
      </c>
      <c r="K54" s="1"/>
      <c r="L54" s="1">
        <f t="shared" si="38"/>
        <v>982.60000000000036</v>
      </c>
      <c r="M54" s="1"/>
      <c r="N54" s="5">
        <f t="shared" si="39"/>
        <v>0.72760392755061265</v>
      </c>
      <c r="O54" s="14"/>
      <c r="P54" s="1">
        <f>SUM(OSRRefP22_10x_0)</f>
        <v>11195.150000000001</v>
      </c>
      <c r="Q54" s="1"/>
      <c r="R54" s="5">
        <f t="shared" si="40"/>
        <v>9.2573527782270668E-2</v>
      </c>
      <c r="S54" s="1"/>
      <c r="T54" s="1">
        <f>SUM(OSRRefT22_10x_0)</f>
        <v>7838.96</v>
      </c>
      <c r="U54" s="1"/>
      <c r="V54" s="5">
        <f t="shared" si="41"/>
        <v>0.58514592146210342</v>
      </c>
      <c r="W54" s="1"/>
      <c r="X54" s="1">
        <f t="shared" si="42"/>
        <v>3356.1900000000014</v>
      </c>
      <c r="Y54" s="1"/>
      <c r="Z54" s="5">
        <f t="shared" si="43"/>
        <v>0.42814225356424851</v>
      </c>
    </row>
    <row r="55" spans="1:26" s="24" customFormat="1" hidden="1" outlineLevel="2" x14ac:dyDescent="0.25">
      <c r="A55" s="28"/>
      <c r="B55" s="11" t="str">
        <f>CONCATENATE("          ", "6373", " - ", "MAINTENANCE CONTRACTS")</f>
        <v xml:space="preserve">          6373 - MAINTENANCE CONTRACTS</v>
      </c>
      <c r="C55" s="11"/>
      <c r="D55" s="7">
        <v>107.78</v>
      </c>
      <c r="E55" s="2"/>
      <c r="F55" s="6">
        <f t="shared" si="36"/>
        <v>1.6758354571518354E-3</v>
      </c>
      <c r="G55" s="2"/>
      <c r="H55" s="7">
        <v>798.64</v>
      </c>
      <c r="I55" s="2"/>
      <c r="J55" s="6">
        <f t="shared" si="37"/>
        <v>9.2034133665220424E-2</v>
      </c>
      <c r="K55" s="2"/>
      <c r="L55" s="7">
        <f t="shared" si="38"/>
        <v>-690.86</v>
      </c>
      <c r="M55" s="2"/>
      <c r="N55" s="6">
        <f t="shared" si="39"/>
        <v>-0.86504557748171895</v>
      </c>
      <c r="O55" s="11"/>
      <c r="P55" s="7">
        <v>107.78</v>
      </c>
      <c r="Q55" s="2"/>
      <c r="R55" s="6">
        <f t="shared" si="40"/>
        <v>8.9124083414452967E-4</v>
      </c>
      <c r="S55" s="2"/>
      <c r="T55" s="7">
        <v>3308.38</v>
      </c>
      <c r="U55" s="2"/>
      <c r="V55" s="6">
        <f t="shared" si="41"/>
        <v>0.24695687484650947</v>
      </c>
      <c r="W55" s="2"/>
      <c r="X55" s="7">
        <f t="shared" si="42"/>
        <v>-3200.6</v>
      </c>
      <c r="Y55" s="2"/>
      <c r="Z55" s="6">
        <f t="shared" si="43"/>
        <v>-0.96742212200533184</v>
      </c>
    </row>
    <row r="56" spans="1:26" s="24" customFormat="1" hidden="1" outlineLevel="2" x14ac:dyDescent="0.25">
      <c r="A56" s="28"/>
      <c r="B56" s="11" t="str">
        <f>CONCATENATE("          ", "6375", " - ", "OUTSIDE REPAIRS &amp; MAINTENANCE")</f>
        <v xml:space="preserve">          6375 - OUTSIDE REPAIRS &amp; MAINTENANCE</v>
      </c>
      <c r="C56" s="11"/>
      <c r="D56" s="7">
        <v>2225.2800000000002</v>
      </c>
      <c r="E56" s="2"/>
      <c r="F56" s="6">
        <f t="shared" si="36"/>
        <v>3.4600140342279054E-2</v>
      </c>
      <c r="G56" s="2"/>
      <c r="H56" s="7">
        <v>551.82000000000005</v>
      </c>
      <c r="I56" s="2"/>
      <c r="J56" s="6">
        <f t="shared" si="37"/>
        <v>6.3590949162503685E-2</v>
      </c>
      <c r="K56" s="2"/>
      <c r="L56" s="7">
        <f t="shared" si="38"/>
        <v>1673.46</v>
      </c>
      <c r="M56" s="2"/>
      <c r="N56" s="6">
        <f t="shared" si="39"/>
        <v>3.0326193323909969</v>
      </c>
      <c r="O56" s="11"/>
      <c r="P56" s="7">
        <v>11087.37</v>
      </c>
      <c r="Q56" s="2"/>
      <c r="R56" s="6">
        <f t="shared" si="40"/>
        <v>9.1682286948126121E-2</v>
      </c>
      <c r="S56" s="2"/>
      <c r="T56" s="7">
        <v>4530.58</v>
      </c>
      <c r="U56" s="2"/>
      <c r="V56" s="6">
        <f t="shared" si="41"/>
        <v>0.33818904661559396</v>
      </c>
      <c r="W56" s="2"/>
      <c r="X56" s="7">
        <f t="shared" si="42"/>
        <v>6556.7900000000009</v>
      </c>
      <c r="Y56" s="2"/>
      <c r="Z56" s="6">
        <f t="shared" si="43"/>
        <v>1.4472297145177881</v>
      </c>
    </row>
    <row r="57" spans="1:26" s="27" customFormat="1" outlineLevel="1" collapsed="1" x14ac:dyDescent="0.25">
      <c r="A57" s="29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3991.59</v>
      </c>
      <c r="E57" s="1"/>
      <c r="F57" s="5">
        <f t="shared" ref="F57:F61" si="44">IF(D$12=0,0,D57/D$12)</f>
        <v>6.2063908446953933E-2</v>
      </c>
      <c r="G57" s="1"/>
      <c r="H57" s="1">
        <f>SUM(OSRRefH22_11x_0)</f>
        <v>4131.68</v>
      </c>
      <c r="I57" s="1"/>
      <c r="J57" s="5">
        <f t="shared" ref="J57:J61" si="45">IF(H$12=0,0,H57/H$12)</f>
        <v>0.476128905867372</v>
      </c>
      <c r="K57" s="1"/>
      <c r="L57" s="1">
        <f t="shared" ref="L57:L61" si="46">+D57-H57</f>
        <v>-140.09000000000015</v>
      </c>
      <c r="M57" s="1"/>
      <c r="N57" s="5">
        <f t="shared" ref="N57:N61" si="47">IF(H57=0,0,L57/H57)</f>
        <v>-3.3906304457266813E-2</v>
      </c>
      <c r="O57" s="14"/>
      <c r="P57" s="1">
        <f>SUM(OSRRefP22_11x_0)</f>
        <v>19320.07</v>
      </c>
      <c r="Q57" s="1"/>
      <c r="R57" s="5">
        <f t="shared" ref="R57:R61" si="48">IF(P$12=0,0,P57/P$12)</f>
        <v>0.15975909540295696</v>
      </c>
      <c r="S57" s="1"/>
      <c r="T57" s="1">
        <f>SUM(OSRRefT22_11x_0)</f>
        <v>9920.86</v>
      </c>
      <c r="U57" s="1"/>
      <c r="V57" s="5">
        <f t="shared" ref="V57:V61" si="49">IF(T$12=0,0,T57/T$12)</f>
        <v>0.7405511402528554</v>
      </c>
      <c r="W57" s="1"/>
      <c r="X57" s="1">
        <f t="shared" ref="X57:X61" si="50">+P57-T57</f>
        <v>9399.2099999999991</v>
      </c>
      <c r="Y57" s="1"/>
      <c r="Z57" s="5">
        <f t="shared" ref="Z57:Z61" si="51">IF(T57=0,0,X57/T57)</f>
        <v>0.94741887296061011</v>
      </c>
    </row>
    <row r="58" spans="1:26" s="24" customFormat="1" hidden="1" outlineLevel="2" x14ac:dyDescent="0.25">
      <c r="A58" s="28"/>
      <c r="B58" s="11" t="str">
        <f>CONCATENATE("          ", "6282", " - ", "JANITORIAL/EXTERMINATOR EXPENS")</f>
        <v xml:space="preserve">          6282 - JANITORIAL/EXTERMINATOR EXPENS</v>
      </c>
      <c r="C58" s="11"/>
      <c r="D58" s="7">
        <v>351.55</v>
      </c>
      <c r="E58" s="2"/>
      <c r="F58" s="6">
        <f t="shared" si="44"/>
        <v>5.4661343009995153E-3</v>
      </c>
      <c r="G58" s="2"/>
      <c r="H58" s="7">
        <v>8.36</v>
      </c>
      <c r="I58" s="2"/>
      <c r="J58" s="6">
        <f t="shared" si="45"/>
        <v>9.6339446739612681E-4</v>
      </c>
      <c r="K58" s="2"/>
      <c r="L58" s="7">
        <f t="shared" si="46"/>
        <v>343.19</v>
      </c>
      <c r="M58" s="2"/>
      <c r="N58" s="6">
        <f t="shared" si="47"/>
        <v>41.051435406698566</v>
      </c>
      <c r="O58" s="11"/>
      <c r="P58" s="7">
        <v>703.1</v>
      </c>
      <c r="Q58" s="2"/>
      <c r="R58" s="6">
        <f t="shared" si="48"/>
        <v>5.8139861800614104E-3</v>
      </c>
      <c r="S58" s="2"/>
      <c r="T58" s="7">
        <v>494.25</v>
      </c>
      <c r="U58" s="2"/>
      <c r="V58" s="6">
        <f t="shared" si="49"/>
        <v>3.6893716983202443E-2</v>
      </c>
      <c r="W58" s="2"/>
      <c r="X58" s="7">
        <f t="shared" si="50"/>
        <v>208.85000000000002</v>
      </c>
      <c r="Y58" s="2"/>
      <c r="Z58" s="6">
        <f t="shared" si="51"/>
        <v>0.42255943348507846</v>
      </c>
    </row>
    <row r="59" spans="1:26" s="24" customFormat="1" hidden="1" outlineLevel="2" x14ac:dyDescent="0.25">
      <c r="A59" s="28"/>
      <c r="B59" s="11" t="str">
        <f>CONCATENATE("          ", "6284", " - ", "TRASH REMOVAL EXPENSE")</f>
        <v xml:space="preserve">          6284 - TRASH REMOVAL EXPENSE</v>
      </c>
      <c r="C59" s="11"/>
      <c r="D59" s="7"/>
      <c r="E59" s="2"/>
      <c r="F59" s="6">
        <f t="shared" si="44"/>
        <v>0</v>
      </c>
      <c r="G59" s="2"/>
      <c r="H59" s="7">
        <v>761</v>
      </c>
      <c r="I59" s="2"/>
      <c r="J59" s="6">
        <f t="shared" si="45"/>
        <v>8.7696553790484758E-2</v>
      </c>
      <c r="K59" s="2"/>
      <c r="L59" s="7">
        <f t="shared" si="46"/>
        <v>-761</v>
      </c>
      <c r="M59" s="2"/>
      <c r="N59" s="6">
        <f t="shared" si="47"/>
        <v>-1</v>
      </c>
      <c r="O59" s="11"/>
      <c r="P59" s="7"/>
      <c r="Q59" s="2"/>
      <c r="R59" s="6">
        <f t="shared" si="48"/>
        <v>0</v>
      </c>
      <c r="S59" s="2"/>
      <c r="T59" s="7">
        <v>2761</v>
      </c>
      <c r="U59" s="2"/>
      <c r="V59" s="6">
        <f t="shared" si="49"/>
        <v>0.2060972232486028</v>
      </c>
      <c r="W59" s="2"/>
      <c r="X59" s="7">
        <f t="shared" si="50"/>
        <v>-2761</v>
      </c>
      <c r="Y59" s="2"/>
      <c r="Z59" s="6">
        <f t="shared" si="51"/>
        <v>-1</v>
      </c>
    </row>
    <row r="60" spans="1:26" s="24" customFormat="1" hidden="1" outlineLevel="2" x14ac:dyDescent="0.25">
      <c r="A60" s="28"/>
      <c r="B60" s="11" t="str">
        <f>CONCATENATE("          ", "6285", " - ", "JANITORIAL SERVICES")</f>
        <v xml:space="preserve">          6285 - JANITORIAL SERVICES</v>
      </c>
      <c r="C60" s="11"/>
      <c r="D60" s="7">
        <v>3506.13</v>
      </c>
      <c r="E60" s="2"/>
      <c r="F60" s="6">
        <f t="shared" si="44"/>
        <v>5.45156519890867E-2</v>
      </c>
      <c r="G60" s="2"/>
      <c r="H60" s="7">
        <v>3256.35</v>
      </c>
      <c r="I60" s="2"/>
      <c r="J60" s="6">
        <f t="shared" si="45"/>
        <v>0.37525712606523653</v>
      </c>
      <c r="K60" s="2"/>
      <c r="L60" s="7">
        <f t="shared" si="46"/>
        <v>249.7800000000002</v>
      </c>
      <c r="M60" s="2"/>
      <c r="N60" s="6">
        <f t="shared" si="47"/>
        <v>7.6705513842185338E-2</v>
      </c>
      <c r="O60" s="11"/>
      <c r="P60" s="7">
        <v>18163.580000000002</v>
      </c>
      <c r="Q60" s="2"/>
      <c r="R60" s="6">
        <f t="shared" si="48"/>
        <v>0.15019599360039801</v>
      </c>
      <c r="S60" s="2"/>
      <c r="T60" s="7">
        <v>6411.93</v>
      </c>
      <c r="U60" s="2"/>
      <c r="V60" s="6">
        <f t="shared" si="49"/>
        <v>0.47862403790815428</v>
      </c>
      <c r="W60" s="2"/>
      <c r="X60" s="7">
        <f t="shared" si="50"/>
        <v>11751.650000000001</v>
      </c>
      <c r="Y60" s="2"/>
      <c r="Z60" s="6">
        <f t="shared" si="51"/>
        <v>1.8327788980852879</v>
      </c>
    </row>
    <row r="61" spans="1:26" s="24" customFormat="1" hidden="1" outlineLevel="2" x14ac:dyDescent="0.25">
      <c r="A61" s="28"/>
      <c r="B61" s="11" t="str">
        <f>CONCATENATE("          ", "6286", " - ", "LAUNDRY EXPENSE")</f>
        <v xml:space="preserve">          6286 - LAUNDRY EXPENSE</v>
      </c>
      <c r="C61" s="11"/>
      <c r="D61" s="7">
        <v>133.91</v>
      </c>
      <c r="E61" s="2"/>
      <c r="F61" s="6">
        <f t="shared" si="44"/>
        <v>2.0821221568677146E-3</v>
      </c>
      <c r="G61" s="2"/>
      <c r="H61" s="7">
        <v>105.97</v>
      </c>
      <c r="I61" s="2"/>
      <c r="J61" s="6">
        <f t="shared" si="45"/>
        <v>1.2211831544254493E-2</v>
      </c>
      <c r="K61" s="2"/>
      <c r="L61" s="7">
        <f t="shared" si="46"/>
        <v>27.939999999999998</v>
      </c>
      <c r="M61" s="2"/>
      <c r="N61" s="6">
        <f t="shared" si="47"/>
        <v>0.2636595262810229</v>
      </c>
      <c r="O61" s="11"/>
      <c r="P61" s="7">
        <v>453.39</v>
      </c>
      <c r="Q61" s="2"/>
      <c r="R61" s="6">
        <f t="shared" si="48"/>
        <v>3.7491156224975716E-3</v>
      </c>
      <c r="S61" s="2"/>
      <c r="T61" s="7">
        <v>253.68</v>
      </c>
      <c r="U61" s="2"/>
      <c r="V61" s="6">
        <f t="shared" si="49"/>
        <v>1.8936162112895893E-2</v>
      </c>
      <c r="W61" s="2"/>
      <c r="X61" s="7">
        <f t="shared" si="50"/>
        <v>199.70999999999998</v>
      </c>
      <c r="Y61" s="2"/>
      <c r="Z61" s="6">
        <f t="shared" si="51"/>
        <v>0.78725165562913901</v>
      </c>
    </row>
    <row r="62" spans="1:26" s="27" customFormat="1" outlineLevel="1" collapsed="1" x14ac:dyDescent="0.25">
      <c r="A62" s="29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SUM(OSRRefD22_12x_0)</f>
        <v>204.93</v>
      </c>
      <c r="E62" s="1"/>
      <c r="F62" s="5">
        <f t="shared" ref="F62:F70" si="52">IF(D$12=0,0,D62/D$12)</f>
        <v>3.1863885714801042E-3</v>
      </c>
      <c r="G62" s="1"/>
      <c r="H62" s="1">
        <f>SUM(OSRRefH22_12x_0)</f>
        <v>131.34</v>
      </c>
      <c r="I62" s="1"/>
      <c r="J62" s="5">
        <f t="shared" ref="J62:J70" si="53">IF(H$12=0,0,H62/H$12)</f>
        <v>1.5135434132512835E-2</v>
      </c>
      <c r="K62" s="1"/>
      <c r="L62" s="1">
        <f t="shared" ref="L62:L70" si="54">+D62-H62</f>
        <v>73.59</v>
      </c>
      <c r="M62" s="1"/>
      <c r="N62" s="5">
        <f t="shared" ref="N62:N70" si="55">IF(H62=0,0,L62/H62)</f>
        <v>0.56030150753768848</v>
      </c>
      <c r="O62" s="14"/>
      <c r="P62" s="1">
        <f>SUM(OSRRefP22_12x_0)</f>
        <v>929.19</v>
      </c>
      <c r="Q62" s="1"/>
      <c r="R62" s="5">
        <f t="shared" ref="R62:R70" si="56">IF(P$12=0,0,P62/P$12)</f>
        <v>7.6835412013245086E-3</v>
      </c>
      <c r="S62" s="1"/>
      <c r="T62" s="1">
        <f>SUM(OSRRefT22_12x_0)</f>
        <v>140.66</v>
      </c>
      <c r="U62" s="1"/>
      <c r="V62" s="5">
        <f t="shared" ref="V62:V70" si="57">IF(T$12=0,0,T62/T$12)</f>
        <v>1.0499686860611543E-2</v>
      </c>
      <c r="W62" s="1"/>
      <c r="X62" s="1">
        <f t="shared" ref="X62:X70" si="58">+P62-T62</f>
        <v>788.53000000000009</v>
      </c>
      <c r="Y62" s="1"/>
      <c r="Z62" s="5">
        <f t="shared" ref="Z62:Z70" si="59">IF(T62=0,0,X62/T62)</f>
        <v>5.6059291909569184</v>
      </c>
    </row>
    <row r="63" spans="1:26" s="24" customFormat="1" hidden="1" outlineLevel="2" x14ac:dyDescent="0.25">
      <c r="A63" s="28"/>
      <c r="B63" s="11" t="str">
        <f>CONCATENATE("          ", "6275", " - ", "SUBSCRIPTIONS")</f>
        <v xml:space="preserve">          6275 - SUBSCRIPTIONS</v>
      </c>
      <c r="C63" s="11"/>
      <c r="D63" s="7">
        <v>204.93</v>
      </c>
      <c r="E63" s="2"/>
      <c r="F63" s="6">
        <f t="shared" si="52"/>
        <v>3.1863885714801042E-3</v>
      </c>
      <c r="G63" s="2"/>
      <c r="H63" s="7">
        <v>131.34</v>
      </c>
      <c r="I63" s="2"/>
      <c r="J63" s="6">
        <f t="shared" si="53"/>
        <v>1.5135434132512835E-2</v>
      </c>
      <c r="K63" s="2"/>
      <c r="L63" s="7">
        <f t="shared" si="54"/>
        <v>73.59</v>
      </c>
      <c r="M63" s="2"/>
      <c r="N63" s="6">
        <f t="shared" si="55"/>
        <v>0.56030150753768848</v>
      </c>
      <c r="O63" s="11"/>
      <c r="P63" s="7">
        <v>929.19</v>
      </c>
      <c r="Q63" s="2"/>
      <c r="R63" s="6">
        <f t="shared" si="56"/>
        <v>7.6835412013245086E-3</v>
      </c>
      <c r="S63" s="2"/>
      <c r="T63" s="7">
        <v>140.66</v>
      </c>
      <c r="U63" s="2"/>
      <c r="V63" s="6">
        <f t="shared" si="57"/>
        <v>1.0499686860611543E-2</v>
      </c>
      <c r="W63" s="2"/>
      <c r="X63" s="7">
        <f t="shared" si="58"/>
        <v>788.53000000000009</v>
      </c>
      <c r="Y63" s="2"/>
      <c r="Z63" s="6">
        <f t="shared" si="59"/>
        <v>5.6059291909569184</v>
      </c>
    </row>
    <row r="64" spans="1:26" s="27" customFormat="1" outlineLevel="1" collapsed="1" x14ac:dyDescent="0.25">
      <c r="A64" s="29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SUM(OSRRefD22_13x_0)</f>
        <v>2359.3200000000002</v>
      </c>
      <c r="E64" s="1"/>
      <c r="F64" s="5">
        <f t="shared" si="52"/>
        <v>3.6684283826011028E-2</v>
      </c>
      <c r="G64" s="1"/>
      <c r="H64" s="1">
        <f>SUM(OSRRefH22_13x_0)</f>
        <v>9.3699999999999992</v>
      </c>
      <c r="I64" s="1"/>
      <c r="J64" s="5">
        <f t="shared" si="53"/>
        <v>1.0797854257777162E-3</v>
      </c>
      <c r="K64" s="1"/>
      <c r="L64" s="1">
        <f t="shared" si="54"/>
        <v>2349.9500000000003</v>
      </c>
      <c r="M64" s="1"/>
      <c r="N64" s="5">
        <f t="shared" si="55"/>
        <v>250.79509071504808</v>
      </c>
      <c r="O64" s="14"/>
      <c r="P64" s="1">
        <f>SUM(OSRRefP22_13x_0)</f>
        <v>4680.0499999999993</v>
      </c>
      <c r="Q64" s="1"/>
      <c r="R64" s="5">
        <f t="shared" si="56"/>
        <v>3.8699681442179487E-2</v>
      </c>
      <c r="S64" s="1"/>
      <c r="T64" s="1">
        <f>SUM(OSRRefT22_13x_0)</f>
        <v>1093.74</v>
      </c>
      <c r="U64" s="1"/>
      <c r="V64" s="5">
        <f t="shared" si="57"/>
        <v>8.1643164417213629E-2</v>
      </c>
      <c r="W64" s="1"/>
      <c r="X64" s="1">
        <f t="shared" si="58"/>
        <v>3586.3099999999995</v>
      </c>
      <c r="Y64" s="1"/>
      <c r="Z64" s="5">
        <f t="shared" si="59"/>
        <v>3.2789419788980925</v>
      </c>
    </row>
    <row r="65" spans="1:26" s="24" customFormat="1" hidden="1" outlineLevel="2" x14ac:dyDescent="0.25">
      <c r="A65" s="28"/>
      <c r="B65" s="11" t="str">
        <f>CONCATENATE("          ", "6234", " - ", "EXPENDABLE SUPPLIES &amp; EQUIPMEN")</f>
        <v xml:space="preserve">          6234 - EXPENDABLE SUPPLIES &amp; EQUIPMEN</v>
      </c>
      <c r="C65" s="11"/>
      <c r="D65" s="7"/>
      <c r="E65" s="2"/>
      <c r="F65" s="6">
        <f t="shared" si="52"/>
        <v>0</v>
      </c>
      <c r="G65" s="2"/>
      <c r="H65" s="7"/>
      <c r="I65" s="2"/>
      <c r="J65" s="6">
        <f t="shared" si="53"/>
        <v>0</v>
      </c>
      <c r="K65" s="2"/>
      <c r="L65" s="7">
        <f t="shared" si="54"/>
        <v>0</v>
      </c>
      <c r="M65" s="2"/>
      <c r="N65" s="6">
        <f t="shared" si="55"/>
        <v>0</v>
      </c>
      <c r="O65" s="11"/>
      <c r="P65" s="7"/>
      <c r="Q65" s="2"/>
      <c r="R65" s="6">
        <f t="shared" si="56"/>
        <v>0</v>
      </c>
      <c r="S65" s="2"/>
      <c r="T65" s="7">
        <v>255.78</v>
      </c>
      <c r="U65" s="2"/>
      <c r="V65" s="6">
        <f t="shared" si="57"/>
        <v>1.9092918421777481E-2</v>
      </c>
      <c r="W65" s="2"/>
      <c r="X65" s="7">
        <f t="shared" si="58"/>
        <v>-255.78</v>
      </c>
      <c r="Y65" s="2"/>
      <c r="Z65" s="6">
        <f t="shared" si="59"/>
        <v>-1</v>
      </c>
    </row>
    <row r="66" spans="1:26" s="24" customFormat="1" hidden="1" outlineLevel="2" x14ac:dyDescent="0.25">
      <c r="A66" s="28"/>
      <c r="B66" s="11" t="str">
        <f>CONCATENATE("          ", "6235", " - ", "COVID-19 EXPENSES")</f>
        <v xml:space="preserve">          6235 - COVID-19 EXPENSES</v>
      </c>
      <c r="C66" s="11"/>
      <c r="D66" s="7"/>
      <c r="E66" s="2"/>
      <c r="F66" s="6">
        <f t="shared" si="52"/>
        <v>0</v>
      </c>
      <c r="G66" s="2"/>
      <c r="H66" s="7"/>
      <c r="I66" s="2"/>
      <c r="J66" s="6">
        <f t="shared" si="53"/>
        <v>0</v>
      </c>
      <c r="K66" s="2"/>
      <c r="L66" s="7">
        <f t="shared" si="54"/>
        <v>0</v>
      </c>
      <c r="M66" s="2"/>
      <c r="N66" s="6">
        <f t="shared" si="55"/>
        <v>0</v>
      </c>
      <c r="O66" s="11"/>
      <c r="P66" s="7"/>
      <c r="Q66" s="2"/>
      <c r="R66" s="6">
        <f t="shared" si="56"/>
        <v>0</v>
      </c>
      <c r="S66" s="2"/>
      <c r="T66" s="7">
        <v>821.97</v>
      </c>
      <c r="U66" s="2"/>
      <c r="V66" s="6">
        <f t="shared" si="57"/>
        <v>6.1356658672094916E-2</v>
      </c>
      <c r="W66" s="2"/>
      <c r="X66" s="7">
        <f t="shared" si="58"/>
        <v>-821.97</v>
      </c>
      <c r="Y66" s="2"/>
      <c r="Z66" s="6">
        <f t="shared" si="59"/>
        <v>-1</v>
      </c>
    </row>
    <row r="67" spans="1:26" s="24" customFormat="1" hidden="1" outlineLevel="2" x14ac:dyDescent="0.25">
      <c r="A67" s="28"/>
      <c r="B67" s="11" t="str">
        <f>CONCATENATE("          ", "6237", " - ", "JANITORIAL SUPPLIES")</f>
        <v xml:space="preserve">          6237 - JANITORIAL SUPPLIES</v>
      </c>
      <c r="C67" s="11"/>
      <c r="D67" s="7">
        <v>1597.32</v>
      </c>
      <c r="E67" s="2"/>
      <c r="F67" s="6">
        <f t="shared" si="52"/>
        <v>2.4836198667821205E-2</v>
      </c>
      <c r="G67" s="2"/>
      <c r="H67" s="7"/>
      <c r="I67" s="2"/>
      <c r="J67" s="6">
        <f t="shared" si="53"/>
        <v>0</v>
      </c>
      <c r="K67" s="2"/>
      <c r="L67" s="7">
        <f t="shared" si="54"/>
        <v>1597.32</v>
      </c>
      <c r="M67" s="2"/>
      <c r="N67" s="6">
        <f t="shared" si="55"/>
        <v>0</v>
      </c>
      <c r="O67" s="11"/>
      <c r="P67" s="7">
        <v>2799.85</v>
      </c>
      <c r="Q67" s="2"/>
      <c r="R67" s="6">
        <f t="shared" si="56"/>
        <v>2.3152167837071452E-2</v>
      </c>
      <c r="S67" s="2"/>
      <c r="T67" s="7"/>
      <c r="U67" s="2"/>
      <c r="V67" s="6">
        <f t="shared" si="57"/>
        <v>0</v>
      </c>
      <c r="W67" s="2"/>
      <c r="X67" s="7">
        <f t="shared" si="58"/>
        <v>2799.85</v>
      </c>
      <c r="Y67" s="2"/>
      <c r="Z67" s="6">
        <f t="shared" si="59"/>
        <v>0</v>
      </c>
    </row>
    <row r="68" spans="1:26" s="24" customFormat="1" hidden="1" outlineLevel="2" x14ac:dyDescent="0.25">
      <c r="A68" s="28"/>
      <c r="B68" s="11" t="str">
        <f>CONCATENATE("          ", "6239", " - ", "KITCHEN SUPPLIES")</f>
        <v xml:space="preserve">          6239 - KITCHEN SUPPLIES</v>
      </c>
      <c r="C68" s="11"/>
      <c r="D68" s="7">
        <v>737.2</v>
      </c>
      <c r="E68" s="2"/>
      <c r="F68" s="6">
        <f t="shared" si="52"/>
        <v>1.1462478187162117E-2</v>
      </c>
      <c r="G68" s="2"/>
      <c r="H68" s="7"/>
      <c r="I68" s="2"/>
      <c r="J68" s="6">
        <f t="shared" si="53"/>
        <v>0</v>
      </c>
      <c r="K68" s="2"/>
      <c r="L68" s="7">
        <f t="shared" si="54"/>
        <v>737.2</v>
      </c>
      <c r="M68" s="2"/>
      <c r="N68" s="6">
        <f t="shared" si="55"/>
        <v>0</v>
      </c>
      <c r="O68" s="11"/>
      <c r="P68" s="7">
        <v>918.21</v>
      </c>
      <c r="Q68" s="2"/>
      <c r="R68" s="6">
        <f t="shared" si="56"/>
        <v>7.5927467648900402E-3</v>
      </c>
      <c r="S68" s="2"/>
      <c r="T68" s="7"/>
      <c r="U68" s="2"/>
      <c r="V68" s="6">
        <f t="shared" si="57"/>
        <v>0</v>
      </c>
      <c r="W68" s="2"/>
      <c r="X68" s="7">
        <f t="shared" si="58"/>
        <v>918.21</v>
      </c>
      <c r="Y68" s="2"/>
      <c r="Z68" s="6">
        <f t="shared" si="59"/>
        <v>0</v>
      </c>
    </row>
    <row r="69" spans="1:26" s="24" customFormat="1" hidden="1" outlineLevel="2" x14ac:dyDescent="0.25">
      <c r="A69" s="28"/>
      <c r="B69" s="11" t="str">
        <f>CONCATENATE("          ", "6241", " - ", "OFFICE EXPENSE")</f>
        <v xml:space="preserve">          6241 - OFFICE EXPENSE</v>
      </c>
      <c r="C69" s="11"/>
      <c r="D69" s="7">
        <v>24.8</v>
      </c>
      <c r="E69" s="2"/>
      <c r="F69" s="6">
        <f t="shared" si="52"/>
        <v>3.8560697102770012E-4</v>
      </c>
      <c r="G69" s="2"/>
      <c r="H69" s="7">
        <v>9.3699999999999992</v>
      </c>
      <c r="I69" s="2"/>
      <c r="J69" s="6">
        <f t="shared" si="53"/>
        <v>1.0797854257777162E-3</v>
      </c>
      <c r="K69" s="2"/>
      <c r="L69" s="7">
        <f t="shared" si="54"/>
        <v>15.430000000000001</v>
      </c>
      <c r="M69" s="2"/>
      <c r="N69" s="6">
        <f t="shared" si="55"/>
        <v>1.6467449306296695</v>
      </c>
      <c r="O69" s="11"/>
      <c r="P69" s="7">
        <v>475.76</v>
      </c>
      <c r="Q69" s="2"/>
      <c r="R69" s="6">
        <f t="shared" si="56"/>
        <v>3.9340948158526762E-3</v>
      </c>
      <c r="S69" s="2"/>
      <c r="T69" s="7">
        <v>15.99</v>
      </c>
      <c r="U69" s="2"/>
      <c r="V69" s="6">
        <f t="shared" si="57"/>
        <v>1.1935873233412384E-3</v>
      </c>
      <c r="W69" s="2"/>
      <c r="X69" s="7">
        <f t="shared" si="58"/>
        <v>459.77</v>
      </c>
      <c r="Y69" s="2"/>
      <c r="Z69" s="6">
        <f t="shared" si="59"/>
        <v>28.753595997498437</v>
      </c>
    </row>
    <row r="70" spans="1:26" s="24" customFormat="1" hidden="1" outlineLevel="2" x14ac:dyDescent="0.25">
      <c r="A70" s="28"/>
      <c r="B70" s="11" t="str">
        <f>CONCATENATE("          ", "6243", " - ", "PAPER SUPPLIES")</f>
        <v xml:space="preserve">          6243 - PAPER SUPPLIES</v>
      </c>
      <c r="C70" s="11"/>
      <c r="D70" s="7"/>
      <c r="E70" s="2"/>
      <c r="F70" s="6">
        <f t="shared" si="52"/>
        <v>0</v>
      </c>
      <c r="G70" s="2"/>
      <c r="H70" s="7"/>
      <c r="I70" s="2"/>
      <c r="J70" s="6">
        <f t="shared" si="53"/>
        <v>0</v>
      </c>
      <c r="K70" s="2"/>
      <c r="L70" s="7">
        <f t="shared" si="54"/>
        <v>0</v>
      </c>
      <c r="M70" s="2"/>
      <c r="N70" s="6">
        <f t="shared" si="55"/>
        <v>0</v>
      </c>
      <c r="O70" s="11"/>
      <c r="P70" s="7">
        <v>486.23</v>
      </c>
      <c r="Q70" s="2"/>
      <c r="R70" s="6">
        <f t="shared" si="56"/>
        <v>4.0206720243653243E-3</v>
      </c>
      <c r="S70" s="2"/>
      <c r="T70" s="7"/>
      <c r="U70" s="2"/>
      <c r="V70" s="6">
        <f t="shared" si="57"/>
        <v>0</v>
      </c>
      <c r="W70" s="2"/>
      <c r="X70" s="7">
        <f t="shared" si="58"/>
        <v>486.23</v>
      </c>
      <c r="Y70" s="2"/>
      <c r="Z70" s="6">
        <f t="shared" si="59"/>
        <v>0</v>
      </c>
    </row>
    <row r="71" spans="1:26" s="27" customFormat="1" outlineLevel="1" collapsed="1" x14ac:dyDescent="0.25">
      <c r="A71" s="29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SUM(OSRRefD22_14x_0)</f>
        <v>245.83</v>
      </c>
      <c r="E71" s="1"/>
      <c r="F71" s="5">
        <f t="shared" ref="F71:F74" si="60">IF(D$12=0,0,D71/D$12)</f>
        <v>3.8223291003120774E-3</v>
      </c>
      <c r="G71" s="1"/>
      <c r="H71" s="1">
        <f>SUM(OSRRefH22_14x_0)</f>
        <v>350</v>
      </c>
      <c r="I71" s="1"/>
      <c r="J71" s="5">
        <f t="shared" ref="J71:J74" si="61">IF(H$12=0,0,H71/H$12)</f>
        <v>4.0333500429263681E-2</v>
      </c>
      <c r="K71" s="1"/>
      <c r="L71" s="1">
        <f t="shared" ref="L71:L74" si="62">+D71-H71</f>
        <v>-104.16999999999999</v>
      </c>
      <c r="M71" s="1"/>
      <c r="N71" s="5">
        <f t="shared" ref="N71:N74" si="63">IF(H71=0,0,L71/H71)</f>
        <v>-0.29762857142857141</v>
      </c>
      <c r="O71" s="14"/>
      <c r="P71" s="1">
        <f>SUM(OSRRefP22_14x_0)</f>
        <v>784.83</v>
      </c>
      <c r="Q71" s="1"/>
      <c r="R71" s="5">
        <f t="shared" ref="R71:R74" si="64">IF(P$12=0,0,P71/P$12)</f>
        <v>6.4898176272188829E-3</v>
      </c>
      <c r="S71" s="1"/>
      <c r="T71" s="1">
        <f>SUM(OSRRefT22_14x_0)</f>
        <v>814</v>
      </c>
      <c r="U71" s="1"/>
      <c r="V71" s="5">
        <f t="shared" ref="V71:V74" si="65">IF(T$12=0,0,T71/T$12)</f>
        <v>6.0761731156958598E-2</v>
      </c>
      <c r="W71" s="1"/>
      <c r="X71" s="1">
        <f t="shared" ref="X71:X74" si="66">+P71-T71</f>
        <v>-29.169999999999959</v>
      </c>
      <c r="Y71" s="1"/>
      <c r="Z71" s="5">
        <f t="shared" ref="Z71:Z74" si="67">IF(T71=0,0,X71/T71)</f>
        <v>-3.5835380835380785E-2</v>
      </c>
    </row>
    <row r="72" spans="1:26" s="24" customFormat="1" hidden="1" outlineLevel="2" x14ac:dyDescent="0.25">
      <c r="A72" s="28"/>
      <c r="B72" s="11" t="str">
        <f>CONCATENATE("          ", "6309", " - ", "TELEPHONE")</f>
        <v xml:space="preserve">          6309 - TELEPHONE</v>
      </c>
      <c r="C72" s="11"/>
      <c r="D72" s="7">
        <v>245.83</v>
      </c>
      <c r="E72" s="2"/>
      <c r="F72" s="6">
        <f t="shared" si="60"/>
        <v>3.8223291003120774E-3</v>
      </c>
      <c r="G72" s="2"/>
      <c r="H72" s="7">
        <v>350</v>
      </c>
      <c r="I72" s="2"/>
      <c r="J72" s="6">
        <f t="shared" si="61"/>
        <v>4.0333500429263681E-2</v>
      </c>
      <c r="K72" s="2"/>
      <c r="L72" s="7">
        <f t="shared" si="62"/>
        <v>-104.16999999999999</v>
      </c>
      <c r="M72" s="2"/>
      <c r="N72" s="6">
        <f t="shared" si="63"/>
        <v>-0.29762857142857141</v>
      </c>
      <c r="O72" s="11"/>
      <c r="P72" s="7">
        <v>784.83</v>
      </c>
      <c r="Q72" s="2"/>
      <c r="R72" s="6">
        <f t="shared" si="64"/>
        <v>6.4898176272188829E-3</v>
      </c>
      <c r="S72" s="2"/>
      <c r="T72" s="7">
        <v>814</v>
      </c>
      <c r="U72" s="2"/>
      <c r="V72" s="6">
        <f t="shared" si="65"/>
        <v>6.0761731156958598E-2</v>
      </c>
      <c r="W72" s="2"/>
      <c r="X72" s="7">
        <f t="shared" si="66"/>
        <v>-29.169999999999959</v>
      </c>
      <c r="Y72" s="2"/>
      <c r="Z72" s="6">
        <f t="shared" si="67"/>
        <v>-3.5835380835380785E-2</v>
      </c>
    </row>
    <row r="73" spans="1:26" s="27" customFormat="1" outlineLevel="1" collapsed="1" x14ac:dyDescent="0.25">
      <c r="A73" s="29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SUM(OSRRefD22_15x_0)</f>
        <v>2400</v>
      </c>
      <c r="E73" s="1"/>
      <c r="F73" s="5">
        <f t="shared" si="60"/>
        <v>3.7316803647841942E-2</v>
      </c>
      <c r="G73" s="1"/>
      <c r="H73" s="1">
        <f>SUM(OSRRefH22_15x_0)</f>
        <v>2300</v>
      </c>
      <c r="I73" s="1"/>
      <c r="J73" s="5">
        <f t="shared" si="61"/>
        <v>0.26504871710658995</v>
      </c>
      <c r="K73" s="1"/>
      <c r="L73" s="1">
        <f t="shared" si="62"/>
        <v>100</v>
      </c>
      <c r="M73" s="1"/>
      <c r="N73" s="5">
        <f t="shared" si="63"/>
        <v>4.3478260869565216E-2</v>
      </c>
      <c r="O73" s="14"/>
      <c r="P73" s="1">
        <f>SUM(OSRRefP22_15x_0)</f>
        <v>7200</v>
      </c>
      <c r="Q73" s="1"/>
      <c r="R73" s="5">
        <f t="shared" si="64"/>
        <v>5.9537335366864105E-2</v>
      </c>
      <c r="S73" s="1"/>
      <c r="T73" s="1">
        <f>SUM(OSRRefT22_15x_0)</f>
        <v>6900</v>
      </c>
      <c r="U73" s="1"/>
      <c r="V73" s="5">
        <f t="shared" si="65"/>
        <v>0.51505644346807655</v>
      </c>
      <c r="W73" s="1"/>
      <c r="X73" s="1">
        <f t="shared" si="66"/>
        <v>300</v>
      </c>
      <c r="Y73" s="1"/>
      <c r="Z73" s="5">
        <f t="shared" si="67"/>
        <v>4.3478260869565216E-2</v>
      </c>
    </row>
    <row r="74" spans="1:26" s="24" customFormat="1" hidden="1" outlineLevel="2" x14ac:dyDescent="0.25">
      <c r="A74" s="28"/>
      <c r="B74" s="11" t="str">
        <f>CONCATENATE("          ", "6274", " - ", "UTILITIES")</f>
        <v xml:space="preserve">          6274 - UTILITIES</v>
      </c>
      <c r="C74" s="11"/>
      <c r="D74" s="7">
        <v>2400</v>
      </c>
      <c r="E74" s="2"/>
      <c r="F74" s="6">
        <f t="shared" si="60"/>
        <v>3.7316803647841942E-2</v>
      </c>
      <c r="G74" s="2"/>
      <c r="H74" s="7">
        <v>2300</v>
      </c>
      <c r="I74" s="2"/>
      <c r="J74" s="6">
        <f t="shared" si="61"/>
        <v>0.26504871710658995</v>
      </c>
      <c r="K74" s="2"/>
      <c r="L74" s="7">
        <f t="shared" si="62"/>
        <v>100</v>
      </c>
      <c r="M74" s="2"/>
      <c r="N74" s="6">
        <f t="shared" si="63"/>
        <v>4.3478260869565216E-2</v>
      </c>
      <c r="O74" s="11"/>
      <c r="P74" s="7">
        <v>7200</v>
      </c>
      <c r="Q74" s="2"/>
      <c r="R74" s="6">
        <f t="shared" si="64"/>
        <v>5.9537335366864105E-2</v>
      </c>
      <c r="S74" s="2"/>
      <c r="T74" s="7">
        <v>6900</v>
      </c>
      <c r="U74" s="2"/>
      <c r="V74" s="6">
        <f t="shared" si="65"/>
        <v>0.51505644346807655</v>
      </c>
      <c r="W74" s="2"/>
      <c r="X74" s="7">
        <f t="shared" si="66"/>
        <v>300</v>
      </c>
      <c r="Y74" s="2"/>
      <c r="Z74" s="6">
        <f t="shared" si="67"/>
        <v>4.3478260869565216E-2</v>
      </c>
    </row>
    <row r="75" spans="1:26" s="54" customFormat="1" x14ac:dyDescent="0.25">
      <c r="A75" s="37"/>
      <c r="B75" s="37"/>
      <c r="C75" s="37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collapsed="1" x14ac:dyDescent="0.25">
      <c r="A76" s="10"/>
      <c r="B76" s="26" t="s">
        <v>292</v>
      </c>
      <c r="C76" s="10"/>
      <c r="D76" s="4">
        <f>SUM(OSRRefD25x_0)</f>
        <v>0</v>
      </c>
      <c r="E76" s="4"/>
      <c r="F76" s="12">
        <f t="shared" ref="F76:F77" si="68">IF(D$12=0,0,D76/D$12)</f>
        <v>0</v>
      </c>
      <c r="G76" s="4"/>
      <c r="H76" s="4">
        <f>SUM(OSRRefH25x_0)</f>
        <v>0</v>
      </c>
      <c r="I76" s="4"/>
      <c r="J76" s="12">
        <f t="shared" ref="J76:J77" si="69">IF(H$12=0,0,H76/H$12)</f>
        <v>0</v>
      </c>
      <c r="K76" s="4"/>
      <c r="L76" s="4">
        <f t="shared" ref="L76:L77" si="70">+D76-H76</f>
        <v>0</v>
      </c>
      <c r="M76" s="4"/>
      <c r="N76" s="12">
        <f t="shared" ref="N76:N77" si="71">IF(H76=0,0,L76/H76)</f>
        <v>0</v>
      </c>
      <c r="O76" s="10"/>
      <c r="P76" s="4">
        <f>SUM(OSRRefP25x_0)</f>
        <v>2.33</v>
      </c>
      <c r="Q76" s="4"/>
      <c r="R76" s="12">
        <f t="shared" ref="R76:R77" si="72">IF(P$12=0,0,P76/P$12)</f>
        <v>1.9266943250665744E-5</v>
      </c>
      <c r="S76" s="4"/>
      <c r="T76" s="4">
        <f>SUM(OSRRefT25x_0)</f>
        <v>0</v>
      </c>
      <c r="U76" s="4"/>
      <c r="V76" s="12">
        <f t="shared" ref="V76:V77" si="73">IF(T$12=0,0,T76/T$12)</f>
        <v>0</v>
      </c>
      <c r="W76" s="4"/>
      <c r="X76" s="4">
        <f t="shared" ref="X76:X77" si="74">+P76-T76</f>
        <v>2.33</v>
      </c>
      <c r="Y76" s="4"/>
      <c r="Z76" s="12">
        <f t="shared" ref="Z76:Z77" si="75">IF(T76=0,0,X76/T76)</f>
        <v>0</v>
      </c>
    </row>
    <row r="77" spans="1:26" s="24" customFormat="1" hidden="1" outlineLevel="1" x14ac:dyDescent="0.25">
      <c r="A77" s="44"/>
      <c r="B77" s="11" t="str">
        <f>CONCATENATE("          ", "9150", " - ", "MISC. INCOME")</f>
        <v xml:space="preserve">          9150 - MISC. INCOME</v>
      </c>
      <c r="C77" s="11"/>
      <c r="D77" s="2">
        <f>0</f>
        <v>0</v>
      </c>
      <c r="E77" s="2"/>
      <c r="F77" s="19">
        <f t="shared" si="68"/>
        <v>0</v>
      </c>
      <c r="G77" s="2"/>
      <c r="H77" s="2">
        <f>0</f>
        <v>0</v>
      </c>
      <c r="I77" s="2"/>
      <c r="J77" s="19">
        <f t="shared" si="69"/>
        <v>0</v>
      </c>
      <c r="K77" s="2"/>
      <c r="L77" s="2">
        <f t="shared" si="70"/>
        <v>0</v>
      </c>
      <c r="M77" s="2"/>
      <c r="N77" s="19">
        <f t="shared" si="71"/>
        <v>0</v>
      </c>
      <c r="O77" s="11"/>
      <c r="P77" s="2">
        <f>--2.33</f>
        <v>2.33</v>
      </c>
      <c r="Q77" s="2"/>
      <c r="R77" s="19">
        <f t="shared" si="72"/>
        <v>1.9266943250665744E-5</v>
      </c>
      <c r="S77" s="2"/>
      <c r="T77" s="2">
        <f>0</f>
        <v>0</v>
      </c>
      <c r="U77" s="2"/>
      <c r="V77" s="19">
        <f t="shared" si="73"/>
        <v>0</v>
      </c>
      <c r="W77" s="2"/>
      <c r="X77" s="2">
        <f t="shared" si="74"/>
        <v>2.33</v>
      </c>
      <c r="Y77" s="2"/>
      <c r="Z77" s="19">
        <f t="shared" si="75"/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5" t="s">
        <v>276</v>
      </c>
      <c r="C79" s="25"/>
      <c r="D79" s="21">
        <f>+D20-D22+D76</f>
        <v>-38372.970000000016</v>
      </c>
      <c r="E79" s="13"/>
      <c r="F79" s="22">
        <f>IF(D$12=0,0,D79/D$12)</f>
        <v>-0.59664857786438752</v>
      </c>
      <c r="G79" s="13"/>
      <c r="H79" s="21">
        <f>+H20-H22+H76</f>
        <v>-58698.53</v>
      </c>
      <c r="I79" s="13"/>
      <c r="J79" s="22">
        <f>IF(H$12=0,0,H79/H$12)</f>
        <v>-6.7643348141489925</v>
      </c>
      <c r="K79" s="16"/>
      <c r="L79" s="21">
        <f>+D79-H79</f>
        <v>20325.559999999983</v>
      </c>
      <c r="M79" s="16"/>
      <c r="N79" s="22">
        <f>IF(H79=0,0,L79/H79)</f>
        <v>-0.3462703410119467</v>
      </c>
      <c r="O79" s="26"/>
      <c r="P79" s="21">
        <f>+P20-P22+P76</f>
        <v>-136083.51000000004</v>
      </c>
      <c r="Q79" s="13"/>
      <c r="R79" s="22">
        <f>IF(P$12=0,0,P79/P$12)</f>
        <v>-1.1252846628847233</v>
      </c>
      <c r="S79" s="13"/>
      <c r="T79" s="21">
        <f>+T20-T22+T76</f>
        <v>-182664.23999999996</v>
      </c>
      <c r="U79" s="13"/>
      <c r="V79" s="22">
        <f>IF(T$12=0,0,T79/T$12)</f>
        <v>-13.63512953669553</v>
      </c>
      <c r="W79" s="16"/>
      <c r="X79" s="21">
        <f>+P79-T79</f>
        <v>46580.729999999923</v>
      </c>
      <c r="Y79" s="16"/>
      <c r="Z79" s="22">
        <f>IF(T79=0,0,X79/T79)</f>
        <v>-0.25500738403970002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1"/>
      <c r="B81" s="10" t="s">
        <v>127</v>
      </c>
      <c r="C81" s="10"/>
      <c r="D81" s="4">
        <v>6507.85</v>
      </c>
      <c r="E81" s="4"/>
      <c r="F81" s="12">
        <f>IF(D$12=0,0,D81/D$12)</f>
        <v>0.10118840025817009</v>
      </c>
      <c r="G81" s="4"/>
      <c r="H81" s="4">
        <v>1685.06</v>
      </c>
      <c r="I81" s="4"/>
      <c r="J81" s="12">
        <f>IF(H$12=0,0,H81/H$12)</f>
        <v>0.19418390923810017</v>
      </c>
      <c r="K81" s="4"/>
      <c r="L81" s="4">
        <f>+D81-H81</f>
        <v>4822.7900000000009</v>
      </c>
      <c r="M81" s="4"/>
      <c r="N81" s="12">
        <f>IF(H81=0,0,L81/H81)</f>
        <v>2.8620879968665811</v>
      </c>
      <c r="O81" s="10"/>
      <c r="P81" s="4">
        <v>14968.5</v>
      </c>
      <c r="Q81" s="4"/>
      <c r="R81" s="12">
        <f>IF(P$12=0,0,P81/P$12)</f>
        <v>0.12377563950540352</v>
      </c>
      <c r="S81" s="4"/>
      <c r="T81" s="4">
        <v>2481.79</v>
      </c>
      <c r="U81" s="4"/>
      <c r="V81" s="12">
        <f>IF(T$12=0,0,T81/T$12)</f>
        <v>0.18525535229487503</v>
      </c>
      <c r="W81" s="4"/>
      <c r="X81" s="4">
        <f>+P81-T81</f>
        <v>12486.71</v>
      </c>
      <c r="Y81" s="4"/>
      <c r="Z81" s="12">
        <f>IF(T81=0,0,X81/T81)</f>
        <v>5.0313322239190263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5" t="s">
        <v>125</v>
      </c>
      <c r="C83" s="25"/>
      <c r="D83" s="33">
        <f>+D79-D81</f>
        <v>-44880.820000000014</v>
      </c>
      <c r="E83" s="13"/>
      <c r="F83" s="35">
        <f>IF(D$12=0,0,D83/D$12)</f>
        <v>-0.69783697812255763</v>
      </c>
      <c r="G83" s="13"/>
      <c r="H83" s="33">
        <f>+H79-H81</f>
        <v>-60383.59</v>
      </c>
      <c r="I83" s="13"/>
      <c r="J83" s="35">
        <f>IF(H$12=0,0,H83/H$12)</f>
        <v>-6.9585187233870922</v>
      </c>
      <c r="K83" s="16"/>
      <c r="L83" s="33">
        <f>D83-H83</f>
        <v>15502.769999999982</v>
      </c>
      <c r="M83" s="16"/>
      <c r="N83" s="35">
        <f>IF(H83=0,0,L83/H83)</f>
        <v>-0.25673813034302834</v>
      </c>
      <c r="O83" s="26"/>
      <c r="P83" s="33">
        <f>+P79-P81</f>
        <v>-151052.01000000004</v>
      </c>
      <c r="Q83" s="13"/>
      <c r="R83" s="35">
        <f>IF(P$12=0,0,P83/P$12)</f>
        <v>-1.2490603023901268</v>
      </c>
      <c r="S83" s="13"/>
      <c r="T83" s="33">
        <f>+T79-T81</f>
        <v>-185146.02999999997</v>
      </c>
      <c r="U83" s="13"/>
      <c r="V83" s="35">
        <f>IF(T$12=0,0,T83/T$12)</f>
        <v>-13.820384888990406</v>
      </c>
      <c r="W83" s="16"/>
      <c r="X83" s="33">
        <f>P83-T83</f>
        <v>34094.019999999931</v>
      </c>
      <c r="Y83" s="16"/>
      <c r="Z83" s="35">
        <f>IF(T83=0,0,X83/T83)</f>
        <v>-0.18414664359802874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5" t="s">
        <v>293</v>
      </c>
      <c r="C86" s="25"/>
      <c r="D86" s="31">
        <f>SUM(D83:D85)</f>
        <v>-44880.820000000014</v>
      </c>
      <c r="E86" s="13"/>
      <c r="F86" s="32">
        <f>IF(D$12=0,0,D86/D$12)</f>
        <v>-0.69783697812255763</v>
      </c>
      <c r="G86" s="13"/>
      <c r="H86" s="31">
        <f>SUM(H83:H85)</f>
        <v>-60383.59</v>
      </c>
      <c r="I86" s="13"/>
      <c r="J86" s="32">
        <f>IF(H$12=0,0,H86/H$12)</f>
        <v>-6.9585187233870922</v>
      </c>
      <c r="K86" s="16"/>
      <c r="L86" s="31">
        <f>+D86-H86</f>
        <v>15502.769999999982</v>
      </c>
      <c r="M86" s="16"/>
      <c r="N86" s="32">
        <f>IF(H86=0,0,L86/H86)</f>
        <v>-0.25673813034302834</v>
      </c>
      <c r="O86" s="26"/>
      <c r="P86" s="31">
        <f>SUM(P83:P85)</f>
        <v>-151052.01000000004</v>
      </c>
      <c r="Q86" s="13"/>
      <c r="R86" s="32">
        <f>IF(P$12=0,0,P86/P$12)</f>
        <v>-1.2490603023901268</v>
      </c>
      <c r="S86" s="13"/>
      <c r="T86" s="31">
        <f>SUM(T83:T85)</f>
        <v>-185146.02999999997</v>
      </c>
      <c r="U86" s="13"/>
      <c r="V86" s="32">
        <f>IF(T$12=0,0,T86/T$12)</f>
        <v>-13.820384888990406</v>
      </c>
      <c r="W86" s="16"/>
      <c r="X86" s="31">
        <f>+P86-T86</f>
        <v>34094.019999999931</v>
      </c>
      <c r="Y86" s="16"/>
      <c r="Z86" s="32">
        <f>IF(T86=0,0,X86/T86)</f>
        <v>-0.18414664359802874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8">
        <v>44481.985668518515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3" t="s">
        <v>56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2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","418", " - ", "Nugget")</f>
        <v>Department 418 - Nugget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6" t="s">
        <v>256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-710.88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-710.88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-710.88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-710.88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107</v>
      </c>
      <c r="C17" s="25"/>
      <c r="D17" s="21">
        <f>D12-D14</f>
        <v>0</v>
      </c>
      <c r="E17" s="13"/>
      <c r="F17" s="22">
        <f>IF(D$12=0,0,D17/D$12)</f>
        <v>0</v>
      </c>
      <c r="G17" s="13"/>
      <c r="H17" s="21">
        <f>H12-H14</f>
        <v>0</v>
      </c>
      <c r="I17" s="13"/>
      <c r="J17" s="22">
        <f>IF(H$12=0,0,H17/H$12)</f>
        <v>0</v>
      </c>
      <c r="K17" s="16"/>
      <c r="L17" s="21">
        <f>+D17-H17</f>
        <v>0</v>
      </c>
      <c r="M17" s="16"/>
      <c r="N17" s="22">
        <f>IF(H17=0,0,L17/H17)</f>
        <v>0</v>
      </c>
      <c r="O17" s="26"/>
      <c r="P17" s="21">
        <f>P12-P14</f>
        <v>710.88</v>
      </c>
      <c r="Q17" s="13"/>
      <c r="R17" s="22">
        <f>IF(P$12=0,0,P17/P$12)</f>
        <v>0</v>
      </c>
      <c r="S17" s="13"/>
      <c r="T17" s="21">
        <f>T12-T14</f>
        <v>0</v>
      </c>
      <c r="U17" s="13"/>
      <c r="V17" s="22">
        <f>IF(T$12=0,0,T17/T$12)</f>
        <v>0</v>
      </c>
      <c r="W17" s="16"/>
      <c r="X17" s="21">
        <f>+P17-T17</f>
        <v>710.88</v>
      </c>
      <c r="Y17" s="16"/>
      <c r="Z17" s="22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294</v>
      </c>
      <c r="C19" s="10"/>
      <c r="D19" s="20">
        <f>SUM(OSRRefD22x_0)</f>
        <v>14035.58</v>
      </c>
      <c r="E19" s="20"/>
      <c r="F19" s="30">
        <f t="shared" ref="F19:F28" si="8">IF(D$12=0,0,D19/D$12)</f>
        <v>0</v>
      </c>
      <c r="G19" s="20"/>
      <c r="H19" s="20">
        <f>SUM(OSRRefH22x_0)</f>
        <v>7376.42</v>
      </c>
      <c r="I19" s="20"/>
      <c r="J19" s="30">
        <f t="shared" ref="J19:J28" si="9">IF(H$12=0,0,H19/H$12)</f>
        <v>0</v>
      </c>
      <c r="K19" s="4"/>
      <c r="L19" s="20">
        <f t="shared" ref="L19:L28" si="10">+D19-H19</f>
        <v>6659.16</v>
      </c>
      <c r="M19" s="4"/>
      <c r="N19" s="30">
        <f t="shared" ref="N19:N28" si="11">IF(H19=0,0,L19/H19)</f>
        <v>0.90276312899753541</v>
      </c>
      <c r="O19" s="10"/>
      <c r="P19" s="20">
        <f>SUM(OSRRefP22x_0)</f>
        <v>61238.470000000016</v>
      </c>
      <c r="Q19" s="20"/>
      <c r="R19" s="30">
        <f t="shared" ref="R19:R28" si="12">IF(P$12=0,0,P19/P$12)</f>
        <v>0</v>
      </c>
      <c r="S19" s="20"/>
      <c r="T19" s="20">
        <f>SUM(OSRRefT22x_0)</f>
        <v>31806.040000000005</v>
      </c>
      <c r="U19" s="20"/>
      <c r="V19" s="30">
        <f t="shared" ref="V19:V28" si="13">IF(T$12=0,0,T19/T$12)</f>
        <v>0</v>
      </c>
      <c r="W19" s="4"/>
      <c r="X19" s="20">
        <f t="shared" ref="X19:X28" si="14">+P19-T19</f>
        <v>29432.430000000011</v>
      </c>
      <c r="Y19" s="4"/>
      <c r="Z19" s="30">
        <f t="shared" ref="Z19:Z28" si="15">IF(T19=0,0,X19/T19)</f>
        <v>0.92537235066044077</v>
      </c>
    </row>
    <row r="20" spans="1:26" s="27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4271.13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4271.13</v>
      </c>
      <c r="M20" s="1"/>
      <c r="N20" s="5">
        <f t="shared" si="11"/>
        <v>0</v>
      </c>
      <c r="O20" s="14"/>
      <c r="P20" s="1">
        <f>SUM(OSRRefP22_0x_0)</f>
        <v>14610.920000000002</v>
      </c>
      <c r="Q20" s="1"/>
      <c r="R20" s="5">
        <f t="shared" si="12"/>
        <v>0</v>
      </c>
      <c r="S20" s="1"/>
      <c r="T20" s="1">
        <f>SUM(OSRRefT22_0x_0)</f>
        <v>6083.9599999999991</v>
      </c>
      <c r="U20" s="1"/>
      <c r="V20" s="5">
        <f t="shared" si="13"/>
        <v>0</v>
      </c>
      <c r="W20" s="1"/>
      <c r="X20" s="1">
        <f t="shared" si="14"/>
        <v>8526.9600000000028</v>
      </c>
      <c r="Y20" s="1"/>
      <c r="Z20" s="5">
        <f t="shared" si="15"/>
        <v>1.4015476761845909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7">
        <v>440.62</v>
      </c>
      <c r="E21" s="2"/>
      <c r="F21" s="6">
        <f t="shared" si="8"/>
        <v>0</v>
      </c>
      <c r="G21" s="2"/>
      <c r="H21" s="7"/>
      <c r="I21" s="2"/>
      <c r="J21" s="6">
        <f t="shared" si="9"/>
        <v>0</v>
      </c>
      <c r="K21" s="2"/>
      <c r="L21" s="7">
        <f t="shared" si="10"/>
        <v>440.62</v>
      </c>
      <c r="M21" s="2"/>
      <c r="N21" s="6">
        <f t="shared" si="11"/>
        <v>0</v>
      </c>
      <c r="O21" s="11"/>
      <c r="P21" s="7">
        <v>1656.07</v>
      </c>
      <c r="Q21" s="2"/>
      <c r="R21" s="6">
        <f t="shared" si="12"/>
        <v>0</v>
      </c>
      <c r="S21" s="2"/>
      <c r="T21" s="7">
        <v>235.15</v>
      </c>
      <c r="U21" s="2"/>
      <c r="V21" s="6">
        <f t="shared" si="13"/>
        <v>0</v>
      </c>
      <c r="W21" s="2"/>
      <c r="X21" s="7">
        <f t="shared" si="14"/>
        <v>1420.9199999999998</v>
      </c>
      <c r="Y21" s="2"/>
      <c r="Z21" s="6">
        <f t="shared" si="15"/>
        <v>6.0426110992983197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7">
        <v>188.35</v>
      </c>
      <c r="E22" s="2"/>
      <c r="F22" s="6">
        <f t="shared" si="8"/>
        <v>0</v>
      </c>
      <c r="G22" s="2"/>
      <c r="H22" s="7"/>
      <c r="I22" s="2"/>
      <c r="J22" s="6">
        <f t="shared" si="9"/>
        <v>0</v>
      </c>
      <c r="K22" s="2"/>
      <c r="L22" s="7">
        <f t="shared" si="10"/>
        <v>188.35</v>
      </c>
      <c r="M22" s="2"/>
      <c r="N22" s="6">
        <f t="shared" si="11"/>
        <v>0</v>
      </c>
      <c r="O22" s="11"/>
      <c r="P22" s="7">
        <v>770.48</v>
      </c>
      <c r="Q22" s="2"/>
      <c r="R22" s="6">
        <f t="shared" si="12"/>
        <v>0</v>
      </c>
      <c r="S22" s="2"/>
      <c r="T22" s="7"/>
      <c r="U22" s="2"/>
      <c r="V22" s="6">
        <f t="shared" si="13"/>
        <v>0</v>
      </c>
      <c r="W22" s="2"/>
      <c r="X22" s="7">
        <f t="shared" si="14"/>
        <v>770.48</v>
      </c>
      <c r="Y22" s="2"/>
      <c r="Z22" s="6">
        <f t="shared" si="15"/>
        <v>0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7">
        <v>3346.16</v>
      </c>
      <c r="E23" s="2"/>
      <c r="F23" s="6">
        <f t="shared" si="8"/>
        <v>0</v>
      </c>
      <c r="G23" s="2"/>
      <c r="H23" s="7"/>
      <c r="I23" s="2"/>
      <c r="J23" s="6">
        <f t="shared" si="9"/>
        <v>0</v>
      </c>
      <c r="K23" s="2"/>
      <c r="L23" s="7">
        <f t="shared" si="10"/>
        <v>3346.16</v>
      </c>
      <c r="M23" s="2"/>
      <c r="N23" s="6">
        <f t="shared" si="11"/>
        <v>0</v>
      </c>
      <c r="O23" s="11"/>
      <c r="P23" s="7">
        <v>10053.08</v>
      </c>
      <c r="Q23" s="2"/>
      <c r="R23" s="6">
        <f t="shared" si="12"/>
        <v>0</v>
      </c>
      <c r="S23" s="2"/>
      <c r="T23" s="7">
        <v>4780.67</v>
      </c>
      <c r="U23" s="2"/>
      <c r="V23" s="6">
        <f t="shared" si="13"/>
        <v>0</v>
      </c>
      <c r="W23" s="2"/>
      <c r="X23" s="7">
        <f t="shared" si="14"/>
        <v>5272.41</v>
      </c>
      <c r="Y23" s="2"/>
      <c r="Z23" s="6">
        <f t="shared" si="15"/>
        <v>1.1028600593640641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7">
        <v>14.91</v>
      </c>
      <c r="E24" s="2"/>
      <c r="F24" s="6">
        <f t="shared" si="8"/>
        <v>0</v>
      </c>
      <c r="G24" s="2"/>
      <c r="H24" s="7"/>
      <c r="I24" s="2"/>
      <c r="J24" s="6">
        <f t="shared" si="9"/>
        <v>0</v>
      </c>
      <c r="K24" s="2"/>
      <c r="L24" s="7">
        <f t="shared" si="10"/>
        <v>14.91</v>
      </c>
      <c r="M24" s="2"/>
      <c r="N24" s="6">
        <f t="shared" si="11"/>
        <v>0</v>
      </c>
      <c r="O24" s="11"/>
      <c r="P24" s="7">
        <v>57.01</v>
      </c>
      <c r="Q24" s="2"/>
      <c r="R24" s="6">
        <f t="shared" si="12"/>
        <v>0</v>
      </c>
      <c r="S24" s="2"/>
      <c r="T24" s="7"/>
      <c r="U24" s="2"/>
      <c r="V24" s="6">
        <f t="shared" si="13"/>
        <v>0</v>
      </c>
      <c r="W24" s="2"/>
      <c r="X24" s="7">
        <f t="shared" si="14"/>
        <v>57.01</v>
      </c>
      <c r="Y24" s="2"/>
      <c r="Z24" s="6">
        <f t="shared" si="15"/>
        <v>0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7"/>
      <c r="E25" s="2"/>
      <c r="F25" s="6">
        <f t="shared" si="8"/>
        <v>0</v>
      </c>
      <c r="G25" s="2"/>
      <c r="H25" s="7"/>
      <c r="I25" s="2"/>
      <c r="J25" s="6">
        <f t="shared" si="9"/>
        <v>0</v>
      </c>
      <c r="K25" s="2"/>
      <c r="L25" s="7">
        <f t="shared" si="10"/>
        <v>0</v>
      </c>
      <c r="M25" s="2"/>
      <c r="N25" s="6">
        <f t="shared" si="11"/>
        <v>0</v>
      </c>
      <c r="O25" s="11"/>
      <c r="P25" s="7"/>
      <c r="Q25" s="2"/>
      <c r="R25" s="6">
        <f t="shared" si="12"/>
        <v>0</v>
      </c>
      <c r="S25" s="2"/>
      <c r="T25" s="7">
        <v>678.15</v>
      </c>
      <c r="U25" s="2"/>
      <c r="V25" s="6">
        <f t="shared" si="13"/>
        <v>0</v>
      </c>
      <c r="W25" s="2"/>
      <c r="X25" s="7">
        <f t="shared" si="14"/>
        <v>-678.15</v>
      </c>
      <c r="Y25" s="2"/>
      <c r="Z25" s="6">
        <f t="shared" si="15"/>
        <v>-1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7">
        <v>144.56</v>
      </c>
      <c r="E26" s="2"/>
      <c r="F26" s="6">
        <f t="shared" si="8"/>
        <v>0</v>
      </c>
      <c r="G26" s="2"/>
      <c r="H26" s="7"/>
      <c r="I26" s="2"/>
      <c r="J26" s="6">
        <f t="shared" si="9"/>
        <v>0</v>
      </c>
      <c r="K26" s="2"/>
      <c r="L26" s="7">
        <f t="shared" si="10"/>
        <v>144.56</v>
      </c>
      <c r="M26" s="2"/>
      <c r="N26" s="6">
        <f t="shared" si="11"/>
        <v>0</v>
      </c>
      <c r="O26" s="11"/>
      <c r="P26" s="7">
        <v>711.32</v>
      </c>
      <c r="Q26" s="2"/>
      <c r="R26" s="6">
        <f t="shared" si="12"/>
        <v>0</v>
      </c>
      <c r="S26" s="2"/>
      <c r="T26" s="7">
        <v>248.21</v>
      </c>
      <c r="U26" s="2"/>
      <c r="V26" s="6">
        <f t="shared" si="13"/>
        <v>0</v>
      </c>
      <c r="W26" s="2"/>
      <c r="X26" s="7">
        <f t="shared" si="14"/>
        <v>463.11</v>
      </c>
      <c r="Y26" s="2"/>
      <c r="Z26" s="6">
        <f t="shared" si="15"/>
        <v>1.865799121711454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7">
        <v>136.53</v>
      </c>
      <c r="E27" s="2"/>
      <c r="F27" s="6">
        <f t="shared" si="8"/>
        <v>0</v>
      </c>
      <c r="G27" s="2"/>
      <c r="H27" s="7"/>
      <c r="I27" s="2"/>
      <c r="J27" s="6">
        <f t="shared" si="9"/>
        <v>0</v>
      </c>
      <c r="K27" s="2"/>
      <c r="L27" s="7">
        <f t="shared" si="10"/>
        <v>136.53</v>
      </c>
      <c r="M27" s="2"/>
      <c r="N27" s="6">
        <f t="shared" si="11"/>
        <v>0</v>
      </c>
      <c r="O27" s="11"/>
      <c r="P27" s="7">
        <v>673.46</v>
      </c>
      <c r="Q27" s="2"/>
      <c r="R27" s="6">
        <f t="shared" si="12"/>
        <v>0</v>
      </c>
      <c r="S27" s="2"/>
      <c r="T27" s="7">
        <v>141.78</v>
      </c>
      <c r="U27" s="2"/>
      <c r="V27" s="6">
        <f t="shared" si="13"/>
        <v>0</v>
      </c>
      <c r="W27" s="2"/>
      <c r="X27" s="7">
        <f t="shared" si="14"/>
        <v>531.68000000000006</v>
      </c>
      <c r="Y27" s="2"/>
      <c r="Z27" s="6">
        <f t="shared" si="15"/>
        <v>3.7500352659049234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8"/>
        <v>0</v>
      </c>
      <c r="G28" s="2"/>
      <c r="H28" s="7"/>
      <c r="I28" s="2"/>
      <c r="J28" s="6">
        <f t="shared" si="9"/>
        <v>0</v>
      </c>
      <c r="K28" s="2"/>
      <c r="L28" s="7">
        <f t="shared" si="10"/>
        <v>0</v>
      </c>
      <c r="M28" s="2"/>
      <c r="N28" s="6">
        <f t="shared" si="11"/>
        <v>0</v>
      </c>
      <c r="O28" s="11"/>
      <c r="P28" s="7">
        <v>689.5</v>
      </c>
      <c r="Q28" s="2"/>
      <c r="R28" s="6">
        <f t="shared" si="12"/>
        <v>0</v>
      </c>
      <c r="S28" s="2"/>
      <c r="T28" s="7"/>
      <c r="U28" s="2"/>
      <c r="V28" s="6">
        <f t="shared" si="13"/>
        <v>0</v>
      </c>
      <c r="W28" s="2"/>
      <c r="X28" s="7">
        <f t="shared" si="14"/>
        <v>689.5</v>
      </c>
      <c r="Y28" s="2"/>
      <c r="Z28" s="6">
        <f t="shared" si="15"/>
        <v>0</v>
      </c>
    </row>
    <row r="29" spans="1:26" s="27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2565.7299999999996</v>
      </c>
      <c r="E29" s="1"/>
      <c r="F29" s="5">
        <f t="shared" ref="F29:F33" si="16">IF(D$12=0,0,D29/D$12)</f>
        <v>0</v>
      </c>
      <c r="G29" s="1"/>
      <c r="H29" s="1">
        <f>SUM(OSRRefH22_1x_0)</f>
        <v>0</v>
      </c>
      <c r="I29" s="1"/>
      <c r="J29" s="5">
        <f t="shared" ref="J29:J33" si="17">IF(H$12=0,0,H29/H$12)</f>
        <v>0</v>
      </c>
      <c r="K29" s="1"/>
      <c r="L29" s="1">
        <f t="shared" ref="L29:L33" si="18">+D29-H29</f>
        <v>2565.7299999999996</v>
      </c>
      <c r="M29" s="1"/>
      <c r="N29" s="5">
        <f t="shared" ref="N29:N33" si="19">IF(H29=0,0,L29/H29)</f>
        <v>0</v>
      </c>
      <c r="O29" s="14"/>
      <c r="P29" s="1">
        <f>SUM(OSRRefP22_1x_0)</f>
        <v>20025.11</v>
      </c>
      <c r="Q29" s="1"/>
      <c r="R29" s="5">
        <f t="shared" ref="R29:R33" si="20">IF(P$12=0,0,P29/P$12)</f>
        <v>0</v>
      </c>
      <c r="S29" s="1"/>
      <c r="T29" s="1">
        <f>SUM(OSRRefT22_1x_0)</f>
        <v>2151.69</v>
      </c>
      <c r="U29" s="1"/>
      <c r="V29" s="5">
        <f t="shared" ref="V29:V33" si="21">IF(T$12=0,0,T29/T$12)</f>
        <v>0</v>
      </c>
      <c r="W29" s="1"/>
      <c r="X29" s="1">
        <f t="shared" ref="X29:X33" si="22">+P29-T29</f>
        <v>17873.420000000002</v>
      </c>
      <c r="Y29" s="1"/>
      <c r="Z29" s="5">
        <f t="shared" ref="Z29:Z33" si="23">IF(T29=0,0,X29/T29)</f>
        <v>8.3066891606132867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16"/>
        <v>0</v>
      </c>
      <c r="G30" s="2"/>
      <c r="H30" s="7"/>
      <c r="I30" s="2"/>
      <c r="J30" s="6">
        <f t="shared" si="17"/>
        <v>0</v>
      </c>
      <c r="K30" s="2"/>
      <c r="L30" s="7">
        <f t="shared" si="18"/>
        <v>0</v>
      </c>
      <c r="M30" s="2"/>
      <c r="N30" s="6">
        <f t="shared" si="19"/>
        <v>0</v>
      </c>
      <c r="O30" s="11"/>
      <c r="P30" s="7"/>
      <c r="Q30" s="2"/>
      <c r="R30" s="6">
        <f t="shared" si="20"/>
        <v>0</v>
      </c>
      <c r="S30" s="2"/>
      <c r="T30" s="7">
        <v>2151.69</v>
      </c>
      <c r="U30" s="2"/>
      <c r="V30" s="6">
        <f t="shared" si="21"/>
        <v>0</v>
      </c>
      <c r="W30" s="2"/>
      <c r="X30" s="7">
        <f t="shared" si="22"/>
        <v>-2151.69</v>
      </c>
      <c r="Y30" s="2"/>
      <c r="Z30" s="6">
        <f t="shared" si="23"/>
        <v>-1</v>
      </c>
    </row>
    <row r="31" spans="1:26" s="24" customFormat="1" hidden="1" outlineLevel="2" x14ac:dyDescent="0.25">
      <c r="A31" s="28"/>
      <c r="B31" s="11" t="str">
        <f>CONCATENATE("          ", "6004", " - ", "STAFF HOURLY")</f>
        <v xml:space="preserve">          6004 - STAFF HOURLY</v>
      </c>
      <c r="C31" s="11"/>
      <c r="D31" s="7">
        <v>2631.61</v>
      </c>
      <c r="E31" s="2"/>
      <c r="F31" s="6">
        <f t="shared" si="16"/>
        <v>0</v>
      </c>
      <c r="G31" s="2"/>
      <c r="H31" s="7"/>
      <c r="I31" s="2"/>
      <c r="J31" s="6">
        <f t="shared" si="17"/>
        <v>0</v>
      </c>
      <c r="K31" s="2"/>
      <c r="L31" s="7">
        <f t="shared" si="18"/>
        <v>2631.61</v>
      </c>
      <c r="M31" s="2"/>
      <c r="N31" s="6">
        <f t="shared" si="19"/>
        <v>0</v>
      </c>
      <c r="O31" s="11"/>
      <c r="P31" s="7">
        <v>11779.06</v>
      </c>
      <c r="Q31" s="2"/>
      <c r="R31" s="6">
        <f t="shared" si="20"/>
        <v>0</v>
      </c>
      <c r="S31" s="2"/>
      <c r="T31" s="7"/>
      <c r="U31" s="2"/>
      <c r="V31" s="6">
        <f t="shared" si="21"/>
        <v>0</v>
      </c>
      <c r="W31" s="2"/>
      <c r="X31" s="7">
        <f t="shared" si="22"/>
        <v>11779.06</v>
      </c>
      <c r="Y31" s="2"/>
      <c r="Z31" s="6">
        <f t="shared" si="23"/>
        <v>0</v>
      </c>
    </row>
    <row r="32" spans="1:26" s="24" customFormat="1" hidden="1" outlineLevel="2" x14ac:dyDescent="0.25">
      <c r="A32" s="28"/>
      <c r="B32" s="11" t="str">
        <f>CONCATENATE("          ", "6005", " - ", "TEMPORARY WAGES-HOURLY")</f>
        <v xml:space="preserve">          6005 - TEMPORARY WAGES-HOURLY</v>
      </c>
      <c r="C32" s="11"/>
      <c r="D32" s="7">
        <v>2808.12</v>
      </c>
      <c r="E32" s="2"/>
      <c r="F32" s="6">
        <f t="shared" si="16"/>
        <v>0</v>
      </c>
      <c r="G32" s="2"/>
      <c r="H32" s="7"/>
      <c r="I32" s="2"/>
      <c r="J32" s="6">
        <f t="shared" si="17"/>
        <v>0</v>
      </c>
      <c r="K32" s="2"/>
      <c r="L32" s="7">
        <f t="shared" si="18"/>
        <v>2808.12</v>
      </c>
      <c r="M32" s="2"/>
      <c r="N32" s="6">
        <f t="shared" si="19"/>
        <v>0</v>
      </c>
      <c r="O32" s="11"/>
      <c r="P32" s="7">
        <v>8246.0499999999993</v>
      </c>
      <c r="Q32" s="2"/>
      <c r="R32" s="6">
        <f t="shared" si="20"/>
        <v>0</v>
      </c>
      <c r="S32" s="2"/>
      <c r="T32" s="7"/>
      <c r="U32" s="2"/>
      <c r="V32" s="6">
        <f t="shared" si="21"/>
        <v>0</v>
      </c>
      <c r="W32" s="2"/>
      <c r="X32" s="7">
        <f t="shared" si="22"/>
        <v>8246.0499999999993</v>
      </c>
      <c r="Y32" s="2"/>
      <c r="Z32" s="6">
        <f t="shared" si="23"/>
        <v>0</v>
      </c>
    </row>
    <row r="33" spans="1:26" s="24" customFormat="1" hidden="1" outlineLevel="2" x14ac:dyDescent="0.25">
      <c r="A33" s="28"/>
      <c r="B33" s="11" t="str">
        <f>CONCATENATE("          ", "6007", " - ", "STUDENT HOURLY")</f>
        <v xml:space="preserve">          6007 - STUDENT HOURLY</v>
      </c>
      <c r="C33" s="11"/>
      <c r="D33" s="7">
        <v>-2874</v>
      </c>
      <c r="E33" s="2"/>
      <c r="F33" s="6">
        <f t="shared" si="16"/>
        <v>0</v>
      </c>
      <c r="G33" s="2"/>
      <c r="H33" s="7"/>
      <c r="I33" s="2"/>
      <c r="J33" s="6">
        <f t="shared" si="17"/>
        <v>0</v>
      </c>
      <c r="K33" s="2"/>
      <c r="L33" s="7">
        <f t="shared" si="18"/>
        <v>-2874</v>
      </c>
      <c r="M33" s="2"/>
      <c r="N33" s="6">
        <f t="shared" si="19"/>
        <v>0</v>
      </c>
      <c r="O33" s="11"/>
      <c r="P33" s="7">
        <v>0</v>
      </c>
      <c r="Q33" s="2"/>
      <c r="R33" s="6">
        <f t="shared" si="20"/>
        <v>0</v>
      </c>
      <c r="S33" s="2"/>
      <c r="T33" s="7"/>
      <c r="U33" s="2"/>
      <c r="V33" s="6">
        <f t="shared" si="21"/>
        <v>0</v>
      </c>
      <c r="W33" s="2"/>
      <c r="X33" s="7">
        <f t="shared" si="22"/>
        <v>0</v>
      </c>
      <c r="Y33" s="2"/>
      <c r="Z33" s="6">
        <f t="shared" si="23"/>
        <v>0</v>
      </c>
    </row>
    <row r="34" spans="1:26" s="27" customFormat="1" outlineLevel="1" collapsed="1" x14ac:dyDescent="0.25">
      <c r="A34" s="29"/>
      <c r="B34" s="14" t="str">
        <f>CONCATENATE("     ","Advertising/Promo                                 ")</f>
        <v xml:space="preserve">     Advertising/Promo                                 </v>
      </c>
      <c r="C34" s="14"/>
      <c r="D34" s="1">
        <f>SUM(OSRRefD22_2x_0)</f>
        <v>0</v>
      </c>
      <c r="E34" s="1"/>
      <c r="F34" s="5">
        <f t="shared" ref="F34:F40" si="24">IF(D$12=0,0,D34/D$12)</f>
        <v>0</v>
      </c>
      <c r="G34" s="1"/>
      <c r="H34" s="1">
        <f>SUM(OSRRefH22_2x_0)</f>
        <v>0</v>
      </c>
      <c r="I34" s="1"/>
      <c r="J34" s="5">
        <f t="shared" ref="J34:J40" si="25">IF(H$12=0,0,H34/H$12)</f>
        <v>0</v>
      </c>
      <c r="K34" s="1"/>
      <c r="L34" s="1">
        <f t="shared" ref="L34:L40" si="26">+D34-H34</f>
        <v>0</v>
      </c>
      <c r="M34" s="1"/>
      <c r="N34" s="5">
        <f t="shared" ref="N34:N40" si="27">IF(H34=0,0,L34/H34)</f>
        <v>0</v>
      </c>
      <c r="O34" s="14"/>
      <c r="P34" s="1">
        <f>SUM(OSRRefP22_2x_0)</f>
        <v>253.82</v>
      </c>
      <c r="Q34" s="1"/>
      <c r="R34" s="5">
        <f t="shared" ref="R34:R40" si="28">IF(P$12=0,0,P34/P$12)</f>
        <v>0</v>
      </c>
      <c r="S34" s="1"/>
      <c r="T34" s="1">
        <f>SUM(OSRRefT22_2x_0)</f>
        <v>0</v>
      </c>
      <c r="U34" s="1"/>
      <c r="V34" s="5">
        <f t="shared" ref="V34:V40" si="29">IF(T$12=0,0,T34/T$12)</f>
        <v>0</v>
      </c>
      <c r="W34" s="1"/>
      <c r="X34" s="1">
        <f t="shared" ref="X34:X40" si="30">+P34-T34</f>
        <v>253.82</v>
      </c>
      <c r="Y34" s="1"/>
      <c r="Z34" s="5">
        <f t="shared" ref="Z34:Z40" si="31">IF(T34=0,0,X34/T34)</f>
        <v>0</v>
      </c>
    </row>
    <row r="35" spans="1:26" s="24" customFormat="1" hidden="1" outlineLevel="2" x14ac:dyDescent="0.25">
      <c r="A35" s="28"/>
      <c r="B35" s="11" t="str">
        <f>CONCATENATE("          ", "6362", " - ", "ADVERTISING EXPENSE")</f>
        <v xml:space="preserve">          6362 - ADVERTISING EXPENSE</v>
      </c>
      <c r="C35" s="11"/>
      <c r="D35" s="7"/>
      <c r="E35" s="2"/>
      <c r="F35" s="6">
        <f t="shared" si="24"/>
        <v>0</v>
      </c>
      <c r="G35" s="2"/>
      <c r="H35" s="7"/>
      <c r="I35" s="2"/>
      <c r="J35" s="6">
        <f t="shared" si="25"/>
        <v>0</v>
      </c>
      <c r="K35" s="2"/>
      <c r="L35" s="7">
        <f t="shared" si="26"/>
        <v>0</v>
      </c>
      <c r="M35" s="2"/>
      <c r="N35" s="6">
        <f t="shared" si="27"/>
        <v>0</v>
      </c>
      <c r="O35" s="11"/>
      <c r="P35" s="7">
        <v>253.82</v>
      </c>
      <c r="Q35" s="2"/>
      <c r="R35" s="6">
        <f t="shared" si="28"/>
        <v>0</v>
      </c>
      <c r="S35" s="2"/>
      <c r="T35" s="7"/>
      <c r="U35" s="2"/>
      <c r="V35" s="6">
        <f t="shared" si="29"/>
        <v>0</v>
      </c>
      <c r="W35" s="2"/>
      <c r="X35" s="7">
        <f t="shared" si="30"/>
        <v>253.82</v>
      </c>
      <c r="Y35" s="2"/>
      <c r="Z35" s="6">
        <f t="shared" si="31"/>
        <v>0</v>
      </c>
    </row>
    <row r="36" spans="1:26" s="27" customFormat="1" outlineLevel="1" collapsed="1" x14ac:dyDescent="0.25">
      <c r="A36" s="29"/>
      <c r="B36" s="14" t="str">
        <f>CONCATENATE("     ","Bank/card Fees                                    ")</f>
        <v xml:space="preserve">     Bank/card Fees                                    </v>
      </c>
      <c r="C36" s="14"/>
      <c r="D36" s="1">
        <f>SUM(OSRRefD22_3x_0)</f>
        <v>0</v>
      </c>
      <c r="E36" s="1"/>
      <c r="F36" s="5">
        <f t="shared" si="24"/>
        <v>0</v>
      </c>
      <c r="G36" s="1"/>
      <c r="H36" s="1">
        <f>SUM(OSRRefH22_3x_0)</f>
        <v>0</v>
      </c>
      <c r="I36" s="1"/>
      <c r="J36" s="5">
        <f t="shared" si="25"/>
        <v>0</v>
      </c>
      <c r="K36" s="1"/>
      <c r="L36" s="1">
        <f t="shared" si="26"/>
        <v>0</v>
      </c>
      <c r="M36" s="1"/>
      <c r="N36" s="5">
        <f t="shared" si="27"/>
        <v>0</v>
      </c>
      <c r="O36" s="14"/>
      <c r="P36" s="1">
        <f>SUM(OSRRefP22_3x_0)</f>
        <v>0.37</v>
      </c>
      <c r="Q36" s="1"/>
      <c r="R36" s="5">
        <f t="shared" si="28"/>
        <v>0</v>
      </c>
      <c r="S36" s="1"/>
      <c r="T36" s="1">
        <f>SUM(OSRRefT22_3x_0)</f>
        <v>0</v>
      </c>
      <c r="U36" s="1"/>
      <c r="V36" s="5">
        <f t="shared" si="29"/>
        <v>0</v>
      </c>
      <c r="W36" s="1"/>
      <c r="X36" s="1">
        <f t="shared" si="30"/>
        <v>0.37</v>
      </c>
      <c r="Y36" s="1"/>
      <c r="Z36" s="5">
        <f t="shared" si="31"/>
        <v>0</v>
      </c>
    </row>
    <row r="37" spans="1:26" s="24" customFormat="1" hidden="1" outlineLevel="2" x14ac:dyDescent="0.25">
      <c r="A37" s="28"/>
      <c r="B37" s="11" t="str">
        <f>CONCATENATE("          ", "6381", " - ", "BANK/CREDIT CARD FEES")</f>
        <v xml:space="preserve">          6381 - BANK/CREDIT CARD FEES</v>
      </c>
      <c r="C37" s="11"/>
      <c r="D37" s="7"/>
      <c r="E37" s="2"/>
      <c r="F37" s="6">
        <f t="shared" si="24"/>
        <v>0</v>
      </c>
      <c r="G37" s="2"/>
      <c r="H37" s="7"/>
      <c r="I37" s="2"/>
      <c r="J37" s="6">
        <f t="shared" si="25"/>
        <v>0</v>
      </c>
      <c r="K37" s="2"/>
      <c r="L37" s="7">
        <f t="shared" si="26"/>
        <v>0</v>
      </c>
      <c r="M37" s="2"/>
      <c r="N37" s="6">
        <f t="shared" si="27"/>
        <v>0</v>
      </c>
      <c r="O37" s="11"/>
      <c r="P37" s="7">
        <v>0.37</v>
      </c>
      <c r="Q37" s="2"/>
      <c r="R37" s="6">
        <f t="shared" si="28"/>
        <v>0</v>
      </c>
      <c r="S37" s="2"/>
      <c r="T37" s="7"/>
      <c r="U37" s="2"/>
      <c r="V37" s="6">
        <f t="shared" si="29"/>
        <v>0</v>
      </c>
      <c r="W37" s="2"/>
      <c r="X37" s="7">
        <f t="shared" si="30"/>
        <v>0.37</v>
      </c>
      <c r="Y37" s="2"/>
      <c r="Z37" s="6">
        <f t="shared" si="31"/>
        <v>0</v>
      </c>
    </row>
    <row r="38" spans="1:26" s="27" customFormat="1" outlineLevel="1" collapsed="1" x14ac:dyDescent="0.25">
      <c r="A38" s="29"/>
      <c r="B38" s="14" t="str">
        <f>CONCATENATE("     ","Depreciation                                      ")</f>
        <v xml:space="preserve">     Depreciation                                      </v>
      </c>
      <c r="C38" s="14"/>
      <c r="D38" s="1">
        <f>SUM(OSRRefD22_4x_0)</f>
        <v>6701.08</v>
      </c>
      <c r="E38" s="1"/>
      <c r="F38" s="5">
        <f t="shared" si="24"/>
        <v>0</v>
      </c>
      <c r="G38" s="1"/>
      <c r="H38" s="1">
        <f>SUM(OSRRefH22_4x_0)</f>
        <v>7177.55</v>
      </c>
      <c r="I38" s="1"/>
      <c r="J38" s="5">
        <f t="shared" si="25"/>
        <v>0</v>
      </c>
      <c r="K38" s="1"/>
      <c r="L38" s="1">
        <f t="shared" si="26"/>
        <v>-476.47000000000025</v>
      </c>
      <c r="M38" s="1"/>
      <c r="N38" s="5">
        <f t="shared" si="27"/>
        <v>-6.6383375943044665E-2</v>
      </c>
      <c r="O38" s="14"/>
      <c r="P38" s="1">
        <f>SUM(OSRRefP22_4x_0)</f>
        <v>20191.38</v>
      </c>
      <c r="Q38" s="1"/>
      <c r="R38" s="5">
        <f t="shared" si="28"/>
        <v>0</v>
      </c>
      <c r="S38" s="1"/>
      <c r="T38" s="1">
        <f>SUM(OSRRefT22_4x_0)</f>
        <v>21532.65</v>
      </c>
      <c r="U38" s="1"/>
      <c r="V38" s="5">
        <f t="shared" si="29"/>
        <v>0</v>
      </c>
      <c r="W38" s="1"/>
      <c r="X38" s="1">
        <f t="shared" si="30"/>
        <v>-1341.2700000000004</v>
      </c>
      <c r="Y38" s="1"/>
      <c r="Z38" s="5">
        <f t="shared" si="31"/>
        <v>-6.2290057192217418E-2</v>
      </c>
    </row>
    <row r="39" spans="1:26" s="24" customFormat="1" hidden="1" outlineLevel="2" x14ac:dyDescent="0.25">
      <c r="A39" s="28"/>
      <c r="B39" s="11" t="str">
        <f>CONCATENATE("          ", "6321", " - ", "BUILDING DEPRECIATION")</f>
        <v xml:space="preserve">          6321 - BUILDING DEPRECIATION</v>
      </c>
      <c r="C39" s="11"/>
      <c r="D39" s="7">
        <v>6492.96</v>
      </c>
      <c r="E39" s="2"/>
      <c r="F39" s="6">
        <f t="shared" si="24"/>
        <v>0</v>
      </c>
      <c r="G39" s="2"/>
      <c r="H39" s="7">
        <v>6537.05</v>
      </c>
      <c r="I39" s="2"/>
      <c r="J39" s="6">
        <f t="shared" si="25"/>
        <v>0</v>
      </c>
      <c r="K39" s="2"/>
      <c r="L39" s="7">
        <f t="shared" si="26"/>
        <v>-44.090000000000146</v>
      </c>
      <c r="M39" s="2"/>
      <c r="N39" s="6">
        <f t="shared" si="27"/>
        <v>-6.7446325177259077E-3</v>
      </c>
      <c r="O39" s="11"/>
      <c r="P39" s="7">
        <v>19567.02</v>
      </c>
      <c r="Q39" s="2"/>
      <c r="R39" s="6">
        <f t="shared" si="28"/>
        <v>0</v>
      </c>
      <c r="S39" s="2"/>
      <c r="T39" s="7">
        <v>19611.150000000001</v>
      </c>
      <c r="U39" s="2"/>
      <c r="V39" s="6">
        <f t="shared" si="29"/>
        <v>0</v>
      </c>
      <c r="W39" s="2"/>
      <c r="X39" s="7">
        <f t="shared" si="30"/>
        <v>-44.130000000001019</v>
      </c>
      <c r="Y39" s="2"/>
      <c r="Z39" s="6">
        <f t="shared" si="31"/>
        <v>-2.2502504952540271E-3</v>
      </c>
    </row>
    <row r="40" spans="1:26" s="24" customFormat="1" hidden="1" outlineLevel="2" x14ac:dyDescent="0.25">
      <c r="A40" s="28"/>
      <c r="B40" s="11" t="str">
        <f>CONCATENATE("          ", "6322", " - ", "EQUIPMENT DEPRECIATION EXPENSE")</f>
        <v xml:space="preserve">          6322 - EQUIPMENT DEPRECIATION EXPENSE</v>
      </c>
      <c r="C40" s="11"/>
      <c r="D40" s="7">
        <v>208.12</v>
      </c>
      <c r="E40" s="2"/>
      <c r="F40" s="6">
        <f t="shared" si="24"/>
        <v>0</v>
      </c>
      <c r="G40" s="2"/>
      <c r="H40" s="7">
        <v>640.5</v>
      </c>
      <c r="I40" s="2"/>
      <c r="J40" s="6">
        <f t="shared" si="25"/>
        <v>0</v>
      </c>
      <c r="K40" s="2"/>
      <c r="L40" s="7">
        <f t="shared" si="26"/>
        <v>-432.38</v>
      </c>
      <c r="M40" s="2"/>
      <c r="N40" s="6">
        <f t="shared" si="27"/>
        <v>-0.67506635441061669</v>
      </c>
      <c r="O40" s="11"/>
      <c r="P40" s="7">
        <v>624.36</v>
      </c>
      <c r="Q40" s="2"/>
      <c r="R40" s="6">
        <f t="shared" si="28"/>
        <v>0</v>
      </c>
      <c r="S40" s="2"/>
      <c r="T40" s="7">
        <v>1921.5</v>
      </c>
      <c r="U40" s="2"/>
      <c r="V40" s="6">
        <f t="shared" si="29"/>
        <v>0</v>
      </c>
      <c r="W40" s="2"/>
      <c r="X40" s="7">
        <f t="shared" si="30"/>
        <v>-1297.1399999999999</v>
      </c>
      <c r="Y40" s="2"/>
      <c r="Z40" s="6">
        <f t="shared" si="31"/>
        <v>-0.67506635441061669</v>
      </c>
    </row>
    <row r="41" spans="1:26" s="27" customFormat="1" outlineLevel="1" collapsed="1" x14ac:dyDescent="0.25">
      <c r="A41" s="29"/>
      <c r="B41" s="14" t="str">
        <f>CONCATENATE("     ","Equipment Rental                                  ")</f>
        <v xml:space="preserve">     Equipment Rental                                  </v>
      </c>
      <c r="C41" s="14"/>
      <c r="D41" s="1">
        <f>SUM(OSRRefD22_5x_0)</f>
        <v>0</v>
      </c>
      <c r="E41" s="1"/>
      <c r="F41" s="5">
        <f t="shared" ref="F41:F47" si="32">IF(D$12=0,0,D41/D$12)</f>
        <v>0</v>
      </c>
      <c r="G41" s="1"/>
      <c r="H41" s="1">
        <f>SUM(OSRRefH22_5x_0)</f>
        <v>0</v>
      </c>
      <c r="I41" s="1"/>
      <c r="J41" s="5">
        <f t="shared" ref="J41:J47" si="33">IF(H$12=0,0,H41/H$12)</f>
        <v>0</v>
      </c>
      <c r="K41" s="1"/>
      <c r="L41" s="1">
        <f t="shared" ref="L41:L47" si="34">+D41-H41</f>
        <v>0</v>
      </c>
      <c r="M41" s="1"/>
      <c r="N41" s="5">
        <f t="shared" ref="N41:N47" si="35">IF(H41=0,0,L41/H41)</f>
        <v>0</v>
      </c>
      <c r="O41" s="14"/>
      <c r="P41" s="1">
        <f>SUM(OSRRefP22_5x_0)</f>
        <v>1034.8599999999999</v>
      </c>
      <c r="Q41" s="1"/>
      <c r="R41" s="5">
        <f t="shared" ref="R41:R47" si="36">IF(P$12=0,0,P41/P$12)</f>
        <v>0</v>
      </c>
      <c r="S41" s="1"/>
      <c r="T41" s="1">
        <f>SUM(OSRRefT22_5x_0)</f>
        <v>263.72000000000003</v>
      </c>
      <c r="U41" s="1"/>
      <c r="V41" s="5">
        <f t="shared" ref="V41:V47" si="37">IF(T$12=0,0,T41/T$12)</f>
        <v>0</v>
      </c>
      <c r="W41" s="1"/>
      <c r="X41" s="1">
        <f t="shared" ref="X41:X47" si="38">+P41-T41</f>
        <v>771.13999999999987</v>
      </c>
      <c r="Y41" s="1"/>
      <c r="Z41" s="5">
        <f t="shared" ref="Z41:Z47" si="39">IF(T41=0,0,X41/T41)</f>
        <v>2.9240861519793713</v>
      </c>
    </row>
    <row r="42" spans="1:26" s="24" customFormat="1" hidden="1" outlineLevel="2" x14ac:dyDescent="0.25">
      <c r="A42" s="28"/>
      <c r="B42" s="11" t="str">
        <f>CONCATENATE("          ", "6351", " - ", "EQUIPMENT RENTAL")</f>
        <v xml:space="preserve">          6351 - EQUIPMENT RENTAL</v>
      </c>
      <c r="C42" s="11"/>
      <c r="D42" s="7"/>
      <c r="E42" s="2"/>
      <c r="F42" s="6">
        <f t="shared" si="32"/>
        <v>0</v>
      </c>
      <c r="G42" s="2"/>
      <c r="H42" s="7"/>
      <c r="I42" s="2"/>
      <c r="J42" s="6">
        <f t="shared" si="33"/>
        <v>0</v>
      </c>
      <c r="K42" s="2"/>
      <c r="L42" s="7">
        <f t="shared" si="34"/>
        <v>0</v>
      </c>
      <c r="M42" s="2"/>
      <c r="N42" s="6">
        <f t="shared" si="35"/>
        <v>0</v>
      </c>
      <c r="O42" s="11"/>
      <c r="P42" s="7">
        <v>1034.8599999999999</v>
      </c>
      <c r="Q42" s="2"/>
      <c r="R42" s="6">
        <f t="shared" si="36"/>
        <v>0</v>
      </c>
      <c r="S42" s="2"/>
      <c r="T42" s="7">
        <v>263.72000000000003</v>
      </c>
      <c r="U42" s="2"/>
      <c r="V42" s="6">
        <f t="shared" si="37"/>
        <v>0</v>
      </c>
      <c r="W42" s="2"/>
      <c r="X42" s="7">
        <f t="shared" si="38"/>
        <v>771.13999999999987</v>
      </c>
      <c r="Y42" s="2"/>
      <c r="Z42" s="6">
        <f t="shared" si="39"/>
        <v>2.9240861519793713</v>
      </c>
    </row>
    <row r="43" spans="1:26" s="27" customFormat="1" outlineLevel="1" collapsed="1" x14ac:dyDescent="0.25">
      <c r="A43" s="29"/>
      <c r="B43" s="14" t="str">
        <f>CONCATENATE("     ","General                                           ")</f>
        <v xml:space="preserve">     General                                           </v>
      </c>
      <c r="C43" s="14"/>
      <c r="D43" s="1">
        <f>SUM(OSRRefD22_6x_0)</f>
        <v>0</v>
      </c>
      <c r="E43" s="1"/>
      <c r="F43" s="5">
        <f t="shared" si="32"/>
        <v>0</v>
      </c>
      <c r="G43" s="1"/>
      <c r="H43" s="1">
        <f>SUM(OSRRefH22_6x_0)</f>
        <v>0</v>
      </c>
      <c r="I43" s="1"/>
      <c r="J43" s="5">
        <f t="shared" si="33"/>
        <v>0</v>
      </c>
      <c r="K43" s="1"/>
      <c r="L43" s="1">
        <f t="shared" si="34"/>
        <v>0</v>
      </c>
      <c r="M43" s="1"/>
      <c r="N43" s="5">
        <f t="shared" si="35"/>
        <v>0</v>
      </c>
      <c r="O43" s="14"/>
      <c r="P43" s="1">
        <f>SUM(OSRRefP22_6x_0)</f>
        <v>1314.55</v>
      </c>
      <c r="Q43" s="1"/>
      <c r="R43" s="5">
        <f t="shared" si="36"/>
        <v>0</v>
      </c>
      <c r="S43" s="1"/>
      <c r="T43" s="1">
        <f>SUM(OSRRefT22_6x_0)</f>
        <v>1284.55</v>
      </c>
      <c r="U43" s="1"/>
      <c r="V43" s="5">
        <f t="shared" si="37"/>
        <v>0</v>
      </c>
      <c r="W43" s="1"/>
      <c r="X43" s="1">
        <f t="shared" si="38"/>
        <v>30</v>
      </c>
      <c r="Y43" s="1"/>
      <c r="Z43" s="5">
        <f t="shared" si="39"/>
        <v>2.3354482114359115E-2</v>
      </c>
    </row>
    <row r="44" spans="1:26" s="24" customFormat="1" hidden="1" outlineLevel="2" x14ac:dyDescent="0.25">
      <c r="A44" s="28"/>
      <c r="B44" s="11" t="str">
        <f>CONCATENATE("          ", "6279", " - ", "GENERAL EXPENSE")</f>
        <v xml:space="preserve">          6279 - GENERAL EXPENSE</v>
      </c>
      <c r="C44" s="11"/>
      <c r="D44" s="7"/>
      <c r="E44" s="2"/>
      <c r="F44" s="6">
        <f t="shared" si="32"/>
        <v>0</v>
      </c>
      <c r="G44" s="2"/>
      <c r="H44" s="7"/>
      <c r="I44" s="2"/>
      <c r="J44" s="6">
        <f t="shared" si="33"/>
        <v>0</v>
      </c>
      <c r="K44" s="2"/>
      <c r="L44" s="7">
        <f t="shared" si="34"/>
        <v>0</v>
      </c>
      <c r="M44" s="2"/>
      <c r="N44" s="6">
        <f t="shared" si="35"/>
        <v>0</v>
      </c>
      <c r="O44" s="11"/>
      <c r="P44" s="7">
        <v>1314.55</v>
      </c>
      <c r="Q44" s="2"/>
      <c r="R44" s="6">
        <f t="shared" si="36"/>
        <v>0</v>
      </c>
      <c r="S44" s="2"/>
      <c r="T44" s="7">
        <v>1284.55</v>
      </c>
      <c r="U44" s="2"/>
      <c r="V44" s="6">
        <f t="shared" si="37"/>
        <v>0</v>
      </c>
      <c r="W44" s="2"/>
      <c r="X44" s="7">
        <f t="shared" si="38"/>
        <v>30</v>
      </c>
      <c r="Y44" s="2"/>
      <c r="Z44" s="6">
        <f t="shared" si="39"/>
        <v>2.3354482114359115E-2</v>
      </c>
    </row>
    <row r="45" spans="1:26" s="27" customFormat="1" outlineLevel="1" collapsed="1" x14ac:dyDescent="0.25">
      <c r="A45" s="29"/>
      <c r="B45" s="14" t="str">
        <f>CONCATENATE("     ","Repair and Maintenance                            ")</f>
        <v xml:space="preserve">     Repair and Maintenance                            </v>
      </c>
      <c r="C45" s="14"/>
      <c r="D45" s="1">
        <f>SUM(OSRRefD22_7x_0)</f>
        <v>293.64</v>
      </c>
      <c r="E45" s="1"/>
      <c r="F45" s="5">
        <f t="shared" si="32"/>
        <v>0</v>
      </c>
      <c r="G45" s="1"/>
      <c r="H45" s="1">
        <f>SUM(OSRRefH22_7x_0)</f>
        <v>198.87</v>
      </c>
      <c r="I45" s="1"/>
      <c r="J45" s="5">
        <f t="shared" si="33"/>
        <v>0</v>
      </c>
      <c r="K45" s="1"/>
      <c r="L45" s="1">
        <f t="shared" si="34"/>
        <v>94.769999999999982</v>
      </c>
      <c r="M45" s="1"/>
      <c r="N45" s="5">
        <f t="shared" si="35"/>
        <v>0.47654246492683655</v>
      </c>
      <c r="O45" s="14"/>
      <c r="P45" s="1">
        <f>SUM(OSRRefP22_7x_0)</f>
        <v>2324.92</v>
      </c>
      <c r="Q45" s="1"/>
      <c r="R45" s="5">
        <f t="shared" si="36"/>
        <v>0</v>
      </c>
      <c r="S45" s="1"/>
      <c r="T45" s="1">
        <f>SUM(OSRRefT22_7x_0)</f>
        <v>277.47000000000003</v>
      </c>
      <c r="U45" s="1"/>
      <c r="V45" s="5">
        <f t="shared" si="37"/>
        <v>0</v>
      </c>
      <c r="W45" s="1"/>
      <c r="X45" s="1">
        <f t="shared" si="38"/>
        <v>2047.45</v>
      </c>
      <c r="Y45" s="1"/>
      <c r="Z45" s="5">
        <f t="shared" si="39"/>
        <v>7.3789959274876562</v>
      </c>
    </row>
    <row r="46" spans="1:26" s="24" customFormat="1" hidden="1" outlineLevel="2" x14ac:dyDescent="0.25">
      <c r="A46" s="28"/>
      <c r="B46" s="11" t="str">
        <f>CONCATENATE("          ", "6373", " - ", "MAINTENANCE CONTRACTS")</f>
        <v xml:space="preserve">          6373 - MAINTENANCE CONTRACTS</v>
      </c>
      <c r="C46" s="11"/>
      <c r="D46" s="7">
        <v>198.46</v>
      </c>
      <c r="E46" s="2"/>
      <c r="F46" s="6">
        <f t="shared" si="32"/>
        <v>0</v>
      </c>
      <c r="G46" s="2"/>
      <c r="H46" s="7">
        <v>198.87</v>
      </c>
      <c r="I46" s="2"/>
      <c r="J46" s="6">
        <f t="shared" si="33"/>
        <v>0</v>
      </c>
      <c r="K46" s="2"/>
      <c r="L46" s="7">
        <f t="shared" si="34"/>
        <v>-0.40999999999999659</v>
      </c>
      <c r="M46" s="2"/>
      <c r="N46" s="6">
        <f t="shared" si="35"/>
        <v>-2.0616483129682534E-3</v>
      </c>
      <c r="O46" s="11"/>
      <c r="P46" s="7">
        <v>198.46</v>
      </c>
      <c r="Q46" s="2"/>
      <c r="R46" s="6">
        <f t="shared" si="36"/>
        <v>0</v>
      </c>
      <c r="S46" s="2"/>
      <c r="T46" s="7">
        <v>277.47000000000003</v>
      </c>
      <c r="U46" s="2"/>
      <c r="V46" s="6">
        <f t="shared" si="37"/>
        <v>0</v>
      </c>
      <c r="W46" s="2"/>
      <c r="X46" s="7">
        <f t="shared" si="38"/>
        <v>-79.010000000000019</v>
      </c>
      <c r="Y46" s="2"/>
      <c r="Z46" s="6">
        <f t="shared" si="39"/>
        <v>-0.28475150466717125</v>
      </c>
    </row>
    <row r="47" spans="1:26" s="24" customFormat="1" hidden="1" outlineLevel="2" x14ac:dyDescent="0.25">
      <c r="A47" s="28"/>
      <c r="B47" s="11" t="str">
        <f>CONCATENATE("          ", "6375", " - ", "OUTSIDE REPAIRS &amp; MAINTENANCE")</f>
        <v xml:space="preserve">          6375 - OUTSIDE REPAIRS &amp; MAINTENANCE</v>
      </c>
      <c r="C47" s="11"/>
      <c r="D47" s="7">
        <v>95.18</v>
      </c>
      <c r="E47" s="2"/>
      <c r="F47" s="6">
        <f t="shared" si="32"/>
        <v>0</v>
      </c>
      <c r="G47" s="2"/>
      <c r="H47" s="7"/>
      <c r="I47" s="2"/>
      <c r="J47" s="6">
        <f t="shared" si="33"/>
        <v>0</v>
      </c>
      <c r="K47" s="2"/>
      <c r="L47" s="7">
        <f t="shared" si="34"/>
        <v>95.18</v>
      </c>
      <c r="M47" s="2"/>
      <c r="N47" s="6">
        <f t="shared" si="35"/>
        <v>0</v>
      </c>
      <c r="O47" s="11"/>
      <c r="P47" s="7">
        <v>2126.46</v>
      </c>
      <c r="Q47" s="2"/>
      <c r="R47" s="6">
        <f t="shared" si="36"/>
        <v>0</v>
      </c>
      <c r="S47" s="2"/>
      <c r="T47" s="7"/>
      <c r="U47" s="2"/>
      <c r="V47" s="6">
        <f t="shared" si="37"/>
        <v>0</v>
      </c>
      <c r="W47" s="2"/>
      <c r="X47" s="7">
        <f t="shared" si="38"/>
        <v>2126.46</v>
      </c>
      <c r="Y47" s="2"/>
      <c r="Z47" s="6">
        <f t="shared" si="39"/>
        <v>0</v>
      </c>
    </row>
    <row r="48" spans="1:26" s="27" customFormat="1" outlineLevel="1" collapsed="1" x14ac:dyDescent="0.25">
      <c r="A48" s="29"/>
      <c r="B48" s="14" t="str">
        <f>CONCATENATE("     ","Services                                          ")</f>
        <v xml:space="preserve">     Services                                          </v>
      </c>
      <c r="C48" s="14"/>
      <c r="D48" s="1">
        <f>SUM(OSRRefD22_8x_0)</f>
        <v>0</v>
      </c>
      <c r="E48" s="1"/>
      <c r="F48" s="5">
        <f t="shared" ref="F48:F55" si="40">IF(D$12=0,0,D48/D$12)</f>
        <v>0</v>
      </c>
      <c r="G48" s="1"/>
      <c r="H48" s="1">
        <f>SUM(OSRRefH22_8x_0)</f>
        <v>0</v>
      </c>
      <c r="I48" s="1"/>
      <c r="J48" s="5">
        <f t="shared" ref="J48:J55" si="41">IF(H$12=0,0,H48/H$12)</f>
        <v>0</v>
      </c>
      <c r="K48" s="1"/>
      <c r="L48" s="1">
        <f t="shared" ref="L48:L55" si="42">+D48-H48</f>
        <v>0</v>
      </c>
      <c r="M48" s="1"/>
      <c r="N48" s="5">
        <f t="shared" ref="N48:N55" si="43">IF(H48=0,0,L48/H48)</f>
        <v>0</v>
      </c>
      <c r="O48" s="14"/>
      <c r="P48" s="1">
        <f>SUM(OSRRefP22_8x_0)</f>
        <v>260</v>
      </c>
      <c r="Q48" s="1"/>
      <c r="R48" s="5">
        <f t="shared" ref="R48:R55" si="44">IF(P$12=0,0,P48/P$12)</f>
        <v>0</v>
      </c>
      <c r="S48" s="1"/>
      <c r="T48" s="1">
        <f>SUM(OSRRefT22_8x_0)</f>
        <v>0</v>
      </c>
      <c r="U48" s="1"/>
      <c r="V48" s="5">
        <f t="shared" ref="V48:V55" si="45">IF(T$12=0,0,T48/T$12)</f>
        <v>0</v>
      </c>
      <c r="W48" s="1"/>
      <c r="X48" s="1">
        <f t="shared" ref="X48:X55" si="46">+P48-T48</f>
        <v>260</v>
      </c>
      <c r="Y48" s="1"/>
      <c r="Z48" s="5">
        <f t="shared" ref="Z48:Z55" si="47">IF(T48=0,0,X48/T48)</f>
        <v>0</v>
      </c>
    </row>
    <row r="49" spans="1:26" s="24" customFormat="1" hidden="1" outlineLevel="2" x14ac:dyDescent="0.25">
      <c r="A49" s="28"/>
      <c r="B49" s="11" t="str">
        <f>CONCATENATE("          ", "6285", " - ", "JANITORIAL SERVICES")</f>
        <v xml:space="preserve">          6285 - JANITORIAL SERVICES</v>
      </c>
      <c r="C49" s="11"/>
      <c r="D49" s="7"/>
      <c r="E49" s="2"/>
      <c r="F49" s="6">
        <f t="shared" si="40"/>
        <v>0</v>
      </c>
      <c r="G49" s="2"/>
      <c r="H49" s="7"/>
      <c r="I49" s="2"/>
      <c r="J49" s="6">
        <f t="shared" si="41"/>
        <v>0</v>
      </c>
      <c r="K49" s="2"/>
      <c r="L49" s="7">
        <f t="shared" si="42"/>
        <v>0</v>
      </c>
      <c r="M49" s="2"/>
      <c r="N49" s="6">
        <f t="shared" si="43"/>
        <v>0</v>
      </c>
      <c r="O49" s="11"/>
      <c r="P49" s="7">
        <v>260</v>
      </c>
      <c r="Q49" s="2"/>
      <c r="R49" s="6">
        <f t="shared" si="44"/>
        <v>0</v>
      </c>
      <c r="S49" s="2"/>
      <c r="T49" s="7"/>
      <c r="U49" s="2"/>
      <c r="V49" s="6">
        <f t="shared" si="45"/>
        <v>0</v>
      </c>
      <c r="W49" s="2"/>
      <c r="X49" s="7">
        <f t="shared" si="46"/>
        <v>260</v>
      </c>
      <c r="Y49" s="2"/>
      <c r="Z49" s="6">
        <f t="shared" si="47"/>
        <v>0</v>
      </c>
    </row>
    <row r="50" spans="1:26" s="27" customFormat="1" outlineLevel="1" collapsed="1" x14ac:dyDescent="0.25">
      <c r="A50" s="29"/>
      <c r="B50" s="14" t="str">
        <f>CONCATENATE("     ","Subscriptions &amp; Dues                              ")</f>
        <v xml:space="preserve">     Subscriptions &amp; Dues                              </v>
      </c>
      <c r="C50" s="14"/>
      <c r="D50" s="1">
        <f>SUM(OSRRefD22_9x_0)</f>
        <v>204</v>
      </c>
      <c r="E50" s="1"/>
      <c r="F50" s="5">
        <f t="shared" si="40"/>
        <v>0</v>
      </c>
      <c r="G50" s="1"/>
      <c r="H50" s="1">
        <f>SUM(OSRRefH22_9x_0)</f>
        <v>0</v>
      </c>
      <c r="I50" s="1"/>
      <c r="J50" s="5">
        <f t="shared" si="41"/>
        <v>0</v>
      </c>
      <c r="K50" s="1"/>
      <c r="L50" s="1">
        <f t="shared" si="42"/>
        <v>204</v>
      </c>
      <c r="M50" s="1"/>
      <c r="N50" s="5">
        <f t="shared" si="43"/>
        <v>0</v>
      </c>
      <c r="O50" s="14"/>
      <c r="P50" s="1">
        <f>SUM(OSRRefP22_9x_0)</f>
        <v>204</v>
      </c>
      <c r="Q50" s="1"/>
      <c r="R50" s="5">
        <f t="shared" si="44"/>
        <v>0</v>
      </c>
      <c r="S50" s="1"/>
      <c r="T50" s="1">
        <f>SUM(OSRRefT22_9x_0)</f>
        <v>0</v>
      </c>
      <c r="U50" s="1"/>
      <c r="V50" s="5">
        <f t="shared" si="45"/>
        <v>0</v>
      </c>
      <c r="W50" s="1"/>
      <c r="X50" s="1">
        <f t="shared" si="46"/>
        <v>204</v>
      </c>
      <c r="Y50" s="1"/>
      <c r="Z50" s="5">
        <f t="shared" si="47"/>
        <v>0</v>
      </c>
    </row>
    <row r="51" spans="1:26" s="24" customFormat="1" hidden="1" outlineLevel="2" x14ac:dyDescent="0.25">
      <c r="A51" s="28"/>
      <c r="B51" s="11" t="str">
        <f>CONCATENATE("          ", "6275", " - ", "SUBSCRIPTIONS")</f>
        <v xml:space="preserve">          6275 - SUBSCRIPTIONS</v>
      </c>
      <c r="C51" s="11"/>
      <c r="D51" s="7">
        <v>204</v>
      </c>
      <c r="E51" s="2"/>
      <c r="F51" s="6">
        <f t="shared" si="40"/>
        <v>0</v>
      </c>
      <c r="G51" s="2"/>
      <c r="H51" s="7"/>
      <c r="I51" s="2"/>
      <c r="J51" s="6">
        <f t="shared" si="41"/>
        <v>0</v>
      </c>
      <c r="K51" s="2"/>
      <c r="L51" s="7">
        <f t="shared" si="42"/>
        <v>204</v>
      </c>
      <c r="M51" s="2"/>
      <c r="N51" s="6">
        <f t="shared" si="43"/>
        <v>0</v>
      </c>
      <c r="O51" s="11"/>
      <c r="P51" s="7">
        <v>204</v>
      </c>
      <c r="Q51" s="2"/>
      <c r="R51" s="6">
        <f t="shared" si="44"/>
        <v>0</v>
      </c>
      <c r="S51" s="2"/>
      <c r="T51" s="7"/>
      <c r="U51" s="2"/>
      <c r="V51" s="6">
        <f t="shared" si="45"/>
        <v>0</v>
      </c>
      <c r="W51" s="2"/>
      <c r="X51" s="7">
        <f t="shared" si="46"/>
        <v>204</v>
      </c>
      <c r="Y51" s="2"/>
      <c r="Z51" s="6">
        <f t="shared" si="47"/>
        <v>0</v>
      </c>
    </row>
    <row r="52" spans="1:26" s="27" customFormat="1" outlineLevel="1" collapsed="1" x14ac:dyDescent="0.25">
      <c r="A52" s="29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SUM(OSRRefD22_10x_0)</f>
        <v>0</v>
      </c>
      <c r="E52" s="1"/>
      <c r="F52" s="5">
        <f t="shared" si="40"/>
        <v>0</v>
      </c>
      <c r="G52" s="1"/>
      <c r="H52" s="1">
        <f>SUM(OSRRefH22_10x_0)</f>
        <v>0</v>
      </c>
      <c r="I52" s="1"/>
      <c r="J52" s="5">
        <f t="shared" si="41"/>
        <v>0</v>
      </c>
      <c r="K52" s="1"/>
      <c r="L52" s="1">
        <f t="shared" si="42"/>
        <v>0</v>
      </c>
      <c r="M52" s="1"/>
      <c r="N52" s="5">
        <f t="shared" si="43"/>
        <v>0</v>
      </c>
      <c r="O52" s="14"/>
      <c r="P52" s="1">
        <f>SUM(OSRRefP22_10x_0)</f>
        <v>943.54</v>
      </c>
      <c r="Q52" s="1"/>
      <c r="R52" s="5">
        <f t="shared" si="44"/>
        <v>0</v>
      </c>
      <c r="S52" s="1"/>
      <c r="T52" s="1">
        <f>SUM(OSRRefT22_10x_0)</f>
        <v>0</v>
      </c>
      <c r="U52" s="1"/>
      <c r="V52" s="5">
        <f t="shared" si="45"/>
        <v>0</v>
      </c>
      <c r="W52" s="1"/>
      <c r="X52" s="1">
        <f t="shared" si="46"/>
        <v>943.54</v>
      </c>
      <c r="Y52" s="1"/>
      <c r="Z52" s="5">
        <f t="shared" si="47"/>
        <v>0</v>
      </c>
    </row>
    <row r="53" spans="1:26" s="24" customFormat="1" hidden="1" outlineLevel="2" x14ac:dyDescent="0.25">
      <c r="A53" s="28"/>
      <c r="B53" s="11" t="str">
        <f>CONCATENATE("          ", "6237", " - ", "JANITORIAL SUPPLIES")</f>
        <v xml:space="preserve">          6237 - JANITORIAL SUPPLIES</v>
      </c>
      <c r="C53" s="11"/>
      <c r="D53" s="7"/>
      <c r="E53" s="2"/>
      <c r="F53" s="6">
        <f t="shared" si="40"/>
        <v>0</v>
      </c>
      <c r="G53" s="2"/>
      <c r="H53" s="7"/>
      <c r="I53" s="2"/>
      <c r="J53" s="6">
        <f t="shared" si="41"/>
        <v>0</v>
      </c>
      <c r="K53" s="2"/>
      <c r="L53" s="7">
        <f t="shared" si="42"/>
        <v>0</v>
      </c>
      <c r="M53" s="2"/>
      <c r="N53" s="6">
        <f t="shared" si="43"/>
        <v>0</v>
      </c>
      <c r="O53" s="11"/>
      <c r="P53" s="7">
        <v>796.76</v>
      </c>
      <c r="Q53" s="2"/>
      <c r="R53" s="6">
        <f t="shared" si="44"/>
        <v>0</v>
      </c>
      <c r="S53" s="2"/>
      <c r="T53" s="7"/>
      <c r="U53" s="2"/>
      <c r="V53" s="6">
        <f t="shared" si="45"/>
        <v>0</v>
      </c>
      <c r="W53" s="2"/>
      <c r="X53" s="7">
        <f t="shared" si="46"/>
        <v>796.76</v>
      </c>
      <c r="Y53" s="2"/>
      <c r="Z53" s="6">
        <f t="shared" si="47"/>
        <v>0</v>
      </c>
    </row>
    <row r="54" spans="1:26" s="24" customFormat="1" hidden="1" outlineLevel="2" x14ac:dyDescent="0.25">
      <c r="A54" s="28"/>
      <c r="B54" s="11" t="str">
        <f>CONCATENATE("          ", "6239", " - ", "KITCHEN SUPPLIES")</f>
        <v xml:space="preserve">          6239 - KITCHEN SUPPLIES</v>
      </c>
      <c r="C54" s="11"/>
      <c r="D54" s="7"/>
      <c r="E54" s="2"/>
      <c r="F54" s="6">
        <f t="shared" si="40"/>
        <v>0</v>
      </c>
      <c r="G54" s="2"/>
      <c r="H54" s="7"/>
      <c r="I54" s="2"/>
      <c r="J54" s="6">
        <f t="shared" si="41"/>
        <v>0</v>
      </c>
      <c r="K54" s="2"/>
      <c r="L54" s="7">
        <f t="shared" si="42"/>
        <v>0</v>
      </c>
      <c r="M54" s="2"/>
      <c r="N54" s="6">
        <f t="shared" si="43"/>
        <v>0</v>
      </c>
      <c r="O54" s="11"/>
      <c r="P54" s="7">
        <v>69.62</v>
      </c>
      <c r="Q54" s="2"/>
      <c r="R54" s="6">
        <f t="shared" si="44"/>
        <v>0</v>
      </c>
      <c r="S54" s="2"/>
      <c r="T54" s="7"/>
      <c r="U54" s="2"/>
      <c r="V54" s="6">
        <f t="shared" si="45"/>
        <v>0</v>
      </c>
      <c r="W54" s="2"/>
      <c r="X54" s="7">
        <f t="shared" si="46"/>
        <v>69.62</v>
      </c>
      <c r="Y54" s="2"/>
      <c r="Z54" s="6">
        <f t="shared" si="47"/>
        <v>0</v>
      </c>
    </row>
    <row r="55" spans="1:26" s="24" customFormat="1" hidden="1" outlineLevel="2" x14ac:dyDescent="0.25">
      <c r="A55" s="28"/>
      <c r="B55" s="11" t="str">
        <f>CONCATENATE("          ", "6241", " - ", "OFFICE EXPENSE")</f>
        <v xml:space="preserve">          6241 - OFFICE EXPENSE</v>
      </c>
      <c r="C55" s="11"/>
      <c r="D55" s="7"/>
      <c r="E55" s="2"/>
      <c r="F55" s="6">
        <f t="shared" si="40"/>
        <v>0</v>
      </c>
      <c r="G55" s="2"/>
      <c r="H55" s="7"/>
      <c r="I55" s="2"/>
      <c r="J55" s="6">
        <f t="shared" si="41"/>
        <v>0</v>
      </c>
      <c r="K55" s="2"/>
      <c r="L55" s="7">
        <f t="shared" si="42"/>
        <v>0</v>
      </c>
      <c r="M55" s="2"/>
      <c r="N55" s="6">
        <f t="shared" si="43"/>
        <v>0</v>
      </c>
      <c r="O55" s="11"/>
      <c r="P55" s="7">
        <v>77.16</v>
      </c>
      <c r="Q55" s="2"/>
      <c r="R55" s="6">
        <f t="shared" si="44"/>
        <v>0</v>
      </c>
      <c r="S55" s="2"/>
      <c r="T55" s="7"/>
      <c r="U55" s="2"/>
      <c r="V55" s="6">
        <f t="shared" si="45"/>
        <v>0</v>
      </c>
      <c r="W55" s="2"/>
      <c r="X55" s="7">
        <f t="shared" si="46"/>
        <v>77.16</v>
      </c>
      <c r="Y55" s="2"/>
      <c r="Z55" s="6">
        <f t="shared" si="47"/>
        <v>0</v>
      </c>
    </row>
    <row r="56" spans="1:26" s="27" customFormat="1" outlineLevel="1" collapsed="1" x14ac:dyDescent="0.25">
      <c r="A56" s="29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SUM(OSRRefD22_11x_0)</f>
        <v>0</v>
      </c>
      <c r="E56" s="1"/>
      <c r="F56" s="5">
        <f t="shared" ref="F56:F57" si="48">IF(D$12=0,0,D56/D$12)</f>
        <v>0</v>
      </c>
      <c r="G56" s="1"/>
      <c r="H56" s="1">
        <f>SUM(OSRRefH22_11x_0)</f>
        <v>0</v>
      </c>
      <c r="I56" s="1"/>
      <c r="J56" s="5">
        <f t="shared" ref="J56:J57" si="49">IF(H$12=0,0,H56/H$12)</f>
        <v>0</v>
      </c>
      <c r="K56" s="1"/>
      <c r="L56" s="1">
        <f t="shared" ref="L56:L57" si="50">+D56-H56</f>
        <v>0</v>
      </c>
      <c r="M56" s="1"/>
      <c r="N56" s="5">
        <f t="shared" ref="N56:N57" si="51">IF(H56=0,0,L56/H56)</f>
        <v>0</v>
      </c>
      <c r="O56" s="14"/>
      <c r="P56" s="1">
        <f>SUM(OSRRefP22_11x_0)</f>
        <v>75</v>
      </c>
      <c r="Q56" s="1"/>
      <c r="R56" s="5">
        <f t="shared" ref="R56:R57" si="52">IF(P$12=0,0,P56/P$12)</f>
        <v>0</v>
      </c>
      <c r="S56" s="1"/>
      <c r="T56" s="1">
        <f>SUM(OSRRefT22_11x_0)</f>
        <v>212</v>
      </c>
      <c r="U56" s="1"/>
      <c r="V56" s="5">
        <f t="shared" ref="V56:V57" si="53">IF(T$12=0,0,T56/T$12)</f>
        <v>0</v>
      </c>
      <c r="W56" s="1"/>
      <c r="X56" s="1">
        <f t="shared" ref="X56:X57" si="54">+P56-T56</f>
        <v>-137</v>
      </c>
      <c r="Y56" s="1"/>
      <c r="Z56" s="5">
        <f t="shared" ref="Z56:Z57" si="55">IF(T56=0,0,X56/T56)</f>
        <v>-0.64622641509433965</v>
      </c>
    </row>
    <row r="57" spans="1:26" s="24" customFormat="1" hidden="1" outlineLevel="2" x14ac:dyDescent="0.25">
      <c r="A57" s="28"/>
      <c r="B57" s="11" t="str">
        <f>CONCATENATE("          ", "6309", " - ", "TELEPHONE")</f>
        <v xml:space="preserve">          6309 - TELEPHONE</v>
      </c>
      <c r="C57" s="11"/>
      <c r="D57" s="7">
        <v>0</v>
      </c>
      <c r="E57" s="2"/>
      <c r="F57" s="6">
        <f t="shared" si="48"/>
        <v>0</v>
      </c>
      <c r="G57" s="2"/>
      <c r="H57" s="7"/>
      <c r="I57" s="2"/>
      <c r="J57" s="6">
        <f t="shared" si="49"/>
        <v>0</v>
      </c>
      <c r="K57" s="2"/>
      <c r="L57" s="7">
        <f t="shared" si="50"/>
        <v>0</v>
      </c>
      <c r="M57" s="2"/>
      <c r="N57" s="6">
        <f t="shared" si="51"/>
        <v>0</v>
      </c>
      <c r="O57" s="11"/>
      <c r="P57" s="7">
        <v>75</v>
      </c>
      <c r="Q57" s="2"/>
      <c r="R57" s="6">
        <f t="shared" si="52"/>
        <v>0</v>
      </c>
      <c r="S57" s="2"/>
      <c r="T57" s="7">
        <v>212</v>
      </c>
      <c r="U57" s="2"/>
      <c r="V57" s="6">
        <f t="shared" si="53"/>
        <v>0</v>
      </c>
      <c r="W57" s="2"/>
      <c r="X57" s="7">
        <f t="shared" si="54"/>
        <v>-137</v>
      </c>
      <c r="Y57" s="2"/>
      <c r="Z57" s="6">
        <f t="shared" si="55"/>
        <v>-0.64622641509433965</v>
      </c>
    </row>
    <row r="58" spans="1:26" s="54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collapsed="1" x14ac:dyDescent="0.25">
      <c r="A59" s="10"/>
      <c r="B59" s="26" t="s">
        <v>292</v>
      </c>
      <c r="C59" s="10"/>
      <c r="D59" s="4">
        <f>SUM(OSRRefD25x_0)</f>
        <v>0</v>
      </c>
      <c r="E59" s="4"/>
      <c r="F59" s="12">
        <f t="shared" ref="F59:F60" si="56">IF(D$12=0,0,D59/D$12)</f>
        <v>0</v>
      </c>
      <c r="G59" s="4"/>
      <c r="H59" s="4">
        <f>SUM(OSRRefH25x_0)</f>
        <v>0</v>
      </c>
      <c r="I59" s="4"/>
      <c r="J59" s="12">
        <f t="shared" ref="J59:J60" si="57">IF(H$12=0,0,H59/H$12)</f>
        <v>0</v>
      </c>
      <c r="K59" s="4"/>
      <c r="L59" s="4">
        <f t="shared" ref="L59:L60" si="58">+D59-H59</f>
        <v>0</v>
      </c>
      <c r="M59" s="4"/>
      <c r="N59" s="12">
        <f t="shared" ref="N59:N60" si="59">IF(H59=0,0,L59/H59)</f>
        <v>0</v>
      </c>
      <c r="O59" s="10"/>
      <c r="P59" s="4">
        <f>SUM(OSRRefP25x_0)</f>
        <v>0</v>
      </c>
      <c r="Q59" s="4"/>
      <c r="R59" s="12">
        <f t="shared" ref="R59:R60" si="60">IF(P$12=0,0,P59/P$12)</f>
        <v>0</v>
      </c>
      <c r="S59" s="4"/>
      <c r="T59" s="4">
        <f>SUM(OSRRefT25x_0)</f>
        <v>111.42</v>
      </c>
      <c r="U59" s="4"/>
      <c r="V59" s="12">
        <f t="shared" ref="V59:V60" si="61">IF(T$12=0,0,T59/T$12)</f>
        <v>0</v>
      </c>
      <c r="W59" s="4"/>
      <c r="X59" s="4">
        <f t="shared" ref="X59:X60" si="62">+P59-T59</f>
        <v>-111.42</v>
      </c>
      <c r="Y59" s="4"/>
      <c r="Z59" s="12">
        <f t="shared" ref="Z59:Z60" si="63">IF(T59=0,0,X59/T59)</f>
        <v>-1</v>
      </c>
    </row>
    <row r="60" spans="1:26" s="24" customFormat="1" hidden="1" outlineLevel="1" x14ac:dyDescent="0.25">
      <c r="A60" s="44"/>
      <c r="B60" s="11" t="str">
        <f>CONCATENATE("          ", "9150", " - ", "MISC. INCOME")</f>
        <v xml:space="preserve">          9150 - MISC. INCOME</v>
      </c>
      <c r="C60" s="11"/>
      <c r="D60" s="2">
        <f>0</f>
        <v>0</v>
      </c>
      <c r="E60" s="2"/>
      <c r="F60" s="19">
        <f t="shared" si="56"/>
        <v>0</v>
      </c>
      <c r="G60" s="2"/>
      <c r="H60" s="2">
        <f>0</f>
        <v>0</v>
      </c>
      <c r="I60" s="2"/>
      <c r="J60" s="19">
        <f t="shared" si="57"/>
        <v>0</v>
      </c>
      <c r="K60" s="2"/>
      <c r="L60" s="2">
        <f t="shared" si="58"/>
        <v>0</v>
      </c>
      <c r="M60" s="2"/>
      <c r="N60" s="19">
        <f t="shared" si="59"/>
        <v>0</v>
      </c>
      <c r="O60" s="11"/>
      <c r="P60" s="2">
        <f>0</f>
        <v>0</v>
      </c>
      <c r="Q60" s="2"/>
      <c r="R60" s="19">
        <f t="shared" si="60"/>
        <v>0</v>
      </c>
      <c r="S60" s="2"/>
      <c r="T60" s="2">
        <f>--111.42</f>
        <v>111.42</v>
      </c>
      <c r="U60" s="2"/>
      <c r="V60" s="19">
        <f t="shared" si="61"/>
        <v>0</v>
      </c>
      <c r="W60" s="2"/>
      <c r="X60" s="2">
        <f t="shared" si="62"/>
        <v>-111.42</v>
      </c>
      <c r="Y60" s="2"/>
      <c r="Z60" s="19">
        <f t="shared" si="63"/>
        <v>-1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5" t="s">
        <v>276</v>
      </c>
      <c r="C62" s="25"/>
      <c r="D62" s="21">
        <f>+D17-D19+D59</f>
        <v>-14035.58</v>
      </c>
      <c r="E62" s="13"/>
      <c r="F62" s="22">
        <f>IF(D$12=0,0,D62/D$12)</f>
        <v>0</v>
      </c>
      <c r="G62" s="13"/>
      <c r="H62" s="21">
        <f>+H17-H19+H59</f>
        <v>-7376.42</v>
      </c>
      <c r="I62" s="13"/>
      <c r="J62" s="22">
        <f>IF(H$12=0,0,H62/H$12)</f>
        <v>0</v>
      </c>
      <c r="K62" s="16"/>
      <c r="L62" s="21">
        <f>+D62-H62</f>
        <v>-6659.16</v>
      </c>
      <c r="M62" s="16"/>
      <c r="N62" s="22">
        <f>IF(H62=0,0,L62/H62)</f>
        <v>0.90276312899753541</v>
      </c>
      <c r="O62" s="26"/>
      <c r="P62" s="21">
        <f>+P17-P19+P59</f>
        <v>-60527.590000000018</v>
      </c>
      <c r="Q62" s="13"/>
      <c r="R62" s="22">
        <f>IF(P$12=0,0,P62/P$12)</f>
        <v>0</v>
      </c>
      <c r="S62" s="13"/>
      <c r="T62" s="21">
        <f>+T17-T19+T59</f>
        <v>-31694.620000000006</v>
      </c>
      <c r="U62" s="13"/>
      <c r="V62" s="22">
        <f>IF(T$12=0,0,T62/T$12)</f>
        <v>0</v>
      </c>
      <c r="W62" s="16"/>
      <c r="X62" s="21">
        <f>+P62-T62</f>
        <v>-28832.970000000012</v>
      </c>
      <c r="Y62" s="16"/>
      <c r="Z62" s="22">
        <f>IF(T62=0,0,X62/T62)</f>
        <v>0.90971180597842805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1"/>
      <c r="B64" s="10" t="s">
        <v>127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/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5" t="s">
        <v>125</v>
      </c>
      <c r="C66" s="25"/>
      <c r="D66" s="33">
        <f>+D62-D64</f>
        <v>-14035.58</v>
      </c>
      <c r="E66" s="13"/>
      <c r="F66" s="35">
        <f>IF(D$12=0,0,D66/D$12)</f>
        <v>0</v>
      </c>
      <c r="G66" s="13"/>
      <c r="H66" s="33">
        <f>+H62-H64</f>
        <v>-7376.42</v>
      </c>
      <c r="I66" s="13"/>
      <c r="J66" s="35">
        <f>IF(H$12=0,0,H66/H$12)</f>
        <v>0</v>
      </c>
      <c r="K66" s="16"/>
      <c r="L66" s="33">
        <f>D66-H66</f>
        <v>-6659.16</v>
      </c>
      <c r="M66" s="16"/>
      <c r="N66" s="35">
        <f>IF(H66=0,0,L66/H66)</f>
        <v>0.90276312899753541</v>
      </c>
      <c r="O66" s="26"/>
      <c r="P66" s="33">
        <f>+P62-P64</f>
        <v>-60527.590000000018</v>
      </c>
      <c r="Q66" s="13"/>
      <c r="R66" s="35">
        <f>IF(P$12=0,0,P66/P$12)</f>
        <v>0</v>
      </c>
      <c r="S66" s="13"/>
      <c r="T66" s="33">
        <f>+T62-T64</f>
        <v>-31694.620000000006</v>
      </c>
      <c r="U66" s="13"/>
      <c r="V66" s="35">
        <f>IF(T$12=0,0,T66/T$12)</f>
        <v>0</v>
      </c>
      <c r="W66" s="16"/>
      <c r="X66" s="33">
        <f>P66-T66</f>
        <v>-28832.970000000012</v>
      </c>
      <c r="Y66" s="16"/>
      <c r="Z66" s="35">
        <f>IF(T66=0,0,X66/T66)</f>
        <v>0.90971180597842805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5" t="s">
        <v>293</v>
      </c>
      <c r="C69" s="25"/>
      <c r="D69" s="31">
        <f>SUM(D66:D68)</f>
        <v>-14035.58</v>
      </c>
      <c r="E69" s="13"/>
      <c r="F69" s="32">
        <f>IF(D$12=0,0,D69/D$12)</f>
        <v>0</v>
      </c>
      <c r="G69" s="13"/>
      <c r="H69" s="31">
        <f>SUM(H66:H68)</f>
        <v>-7376.42</v>
      </c>
      <c r="I69" s="13"/>
      <c r="J69" s="32">
        <f>IF(H$12=0,0,H69/H$12)</f>
        <v>0</v>
      </c>
      <c r="K69" s="16"/>
      <c r="L69" s="31">
        <f>+D69-H69</f>
        <v>-6659.16</v>
      </c>
      <c r="M69" s="16"/>
      <c r="N69" s="32">
        <f>IF(H69=0,0,L69/H69)</f>
        <v>0.90276312899753541</v>
      </c>
      <c r="O69" s="26"/>
      <c r="P69" s="31">
        <f>SUM(P66:P68)</f>
        <v>-60527.590000000018</v>
      </c>
      <c r="Q69" s="13"/>
      <c r="R69" s="32">
        <f>IF(P$12=0,0,P69/P$12)</f>
        <v>0</v>
      </c>
      <c r="S69" s="13"/>
      <c r="T69" s="31">
        <f>SUM(T66:T68)</f>
        <v>-31694.620000000006</v>
      </c>
      <c r="U69" s="13"/>
      <c r="V69" s="32">
        <f>IF(T$12=0,0,T69/T$12)</f>
        <v>0</v>
      </c>
      <c r="W69" s="16"/>
      <c r="X69" s="31">
        <f>+P69-T69</f>
        <v>-28832.970000000012</v>
      </c>
      <c r="Y69" s="16"/>
      <c r="Z69" s="32">
        <f>IF(T69=0,0,X69/T69)</f>
        <v>0.90971180597842805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8">
        <v>44481.985668518515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3" t="s">
        <v>56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2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","423", " - ", "Contract/Vending Revenue")</f>
        <v>Department 423 - Contract/Vending Revenue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68.5</v>
      </c>
      <c r="E18" s="20"/>
      <c r="F18" s="30">
        <f t="shared" ref="F18:F21" si="0">IF(D$12=0,0,D18/D$12)</f>
        <v>0</v>
      </c>
      <c r="G18" s="20"/>
      <c r="H18" s="20">
        <f>SUM(OSRRefH22x_0)</f>
        <v>200</v>
      </c>
      <c r="I18" s="20"/>
      <c r="J18" s="30">
        <f t="shared" ref="J18:J21" si="1">IF(H$12=0,0,H18/H$12)</f>
        <v>0</v>
      </c>
      <c r="K18" s="4"/>
      <c r="L18" s="20">
        <f t="shared" ref="L18:L21" si="2">+D18-H18</f>
        <v>-131.5</v>
      </c>
      <c r="M18" s="4"/>
      <c r="N18" s="30">
        <f t="shared" ref="N18:N21" si="3">IF(H18=0,0,L18/H18)</f>
        <v>-0.65749999999999997</v>
      </c>
      <c r="O18" s="10"/>
      <c r="P18" s="20">
        <f>SUM(OSRRefP22x_0)</f>
        <v>7961.51</v>
      </c>
      <c r="Q18" s="20"/>
      <c r="R18" s="30">
        <f t="shared" ref="R18:R21" si="4">IF(P$12=0,0,P18/P$12)</f>
        <v>0</v>
      </c>
      <c r="S18" s="20"/>
      <c r="T18" s="20">
        <f>SUM(OSRRefT22x_0)</f>
        <v>2694.43</v>
      </c>
      <c r="U18" s="20"/>
      <c r="V18" s="30">
        <f t="shared" ref="V18:V21" si="5">IF(T$12=0,0,T18/T$12)</f>
        <v>0</v>
      </c>
      <c r="W18" s="4"/>
      <c r="X18" s="20">
        <f t="shared" ref="X18:X21" si="6">+P18-T18</f>
        <v>5267.08</v>
      </c>
      <c r="Y18" s="4"/>
      <c r="Z18" s="30">
        <f t="shared" ref="Z18:Z21" si="7">IF(T18=0,0,X18/T18)</f>
        <v>1.9548030566761803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2478.73</v>
      </c>
      <c r="U19" s="1"/>
      <c r="V19" s="5">
        <f t="shared" si="5"/>
        <v>0</v>
      </c>
      <c r="W19" s="1"/>
      <c r="X19" s="1">
        <f t="shared" si="6"/>
        <v>-2478.73</v>
      </c>
      <c r="Y19" s="1"/>
      <c r="Z19" s="5">
        <f t="shared" si="7"/>
        <v>-1</v>
      </c>
    </row>
    <row r="20" spans="1:26" s="24" customFormat="1" hidden="1" outlineLevel="2" x14ac:dyDescent="0.25">
      <c r="A20" s="28"/>
      <c r="B20" s="11" t="str">
        <f>CONCATENATE("          ", "6113", " - ", "GROUP INSURANCE")</f>
        <v xml:space="preserve">          6113 - GROUP INSURANCE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/>
      <c r="Q20" s="2"/>
      <c r="R20" s="6">
        <f t="shared" si="4"/>
        <v>0</v>
      </c>
      <c r="S20" s="2"/>
      <c r="T20" s="7">
        <v>1868.2</v>
      </c>
      <c r="U20" s="2"/>
      <c r="V20" s="6">
        <f t="shared" si="5"/>
        <v>0</v>
      </c>
      <c r="W20" s="2"/>
      <c r="X20" s="7">
        <f t="shared" si="6"/>
        <v>-1868.2</v>
      </c>
      <c r="Y20" s="2"/>
      <c r="Z20" s="6">
        <f t="shared" si="7"/>
        <v>-1</v>
      </c>
    </row>
    <row r="21" spans="1:26" s="24" customFormat="1" hidden="1" outlineLevel="2" x14ac:dyDescent="0.25">
      <c r="A21" s="28"/>
      <c r="B21" s="11" t="str">
        <f>CONCATENATE("          ", "6115", " - ", "P.E.R.S.")</f>
        <v xml:space="preserve">          6115 - P.E.R.S.</v>
      </c>
      <c r="C21" s="11"/>
      <c r="D21" s="7"/>
      <c r="E21" s="2"/>
      <c r="F21" s="6">
        <f t="shared" si="0"/>
        <v>0</v>
      </c>
      <c r="G21" s="2"/>
      <c r="H21" s="7"/>
      <c r="I21" s="2"/>
      <c r="J21" s="6">
        <f t="shared" si="1"/>
        <v>0</v>
      </c>
      <c r="K21" s="2"/>
      <c r="L21" s="7">
        <f t="shared" si="2"/>
        <v>0</v>
      </c>
      <c r="M21" s="2"/>
      <c r="N21" s="6">
        <f t="shared" si="3"/>
        <v>0</v>
      </c>
      <c r="O21" s="11"/>
      <c r="P21" s="7"/>
      <c r="Q21" s="2"/>
      <c r="R21" s="6">
        <f t="shared" si="4"/>
        <v>0</v>
      </c>
      <c r="S21" s="2"/>
      <c r="T21" s="7">
        <v>610.53</v>
      </c>
      <c r="U21" s="2"/>
      <c r="V21" s="6">
        <f t="shared" si="5"/>
        <v>0</v>
      </c>
      <c r="W21" s="2"/>
      <c r="X21" s="7">
        <f t="shared" si="6"/>
        <v>-610.53</v>
      </c>
      <c r="Y21" s="2"/>
      <c r="Z21" s="6">
        <f t="shared" si="7"/>
        <v>-1</v>
      </c>
    </row>
    <row r="22" spans="1:26" s="27" customFormat="1" outlineLevel="1" collapsed="1" x14ac:dyDescent="0.25">
      <c r="A22" s="29"/>
      <c r="B22" s="14" t="str">
        <f>CONCATENATE("     ","General                                           ")</f>
        <v xml:space="preserve">     General                                           </v>
      </c>
      <c r="C22" s="14"/>
      <c r="D22" s="1">
        <f>SUM(OSRRefD22_1x_0)</f>
        <v>0</v>
      </c>
      <c r="E22" s="1"/>
      <c r="F22" s="5">
        <f t="shared" ref="F22:F27" si="8">IF(D$12=0,0,D22/D$12)</f>
        <v>0</v>
      </c>
      <c r="G22" s="1"/>
      <c r="H22" s="1">
        <f>SUM(OSRRefH22_1x_0)</f>
        <v>0</v>
      </c>
      <c r="I22" s="1"/>
      <c r="J22" s="5">
        <f t="shared" ref="J22:J27" si="9">IF(H$12=0,0,H22/H$12)</f>
        <v>0</v>
      </c>
      <c r="K22" s="1"/>
      <c r="L22" s="1">
        <f t="shared" ref="L22:L27" si="10">+D22-H22</f>
        <v>0</v>
      </c>
      <c r="M22" s="1"/>
      <c r="N22" s="5">
        <f t="shared" ref="N22:N27" si="11">IF(H22=0,0,L22/H22)</f>
        <v>0</v>
      </c>
      <c r="O22" s="14"/>
      <c r="P22" s="1">
        <f>SUM(OSRRefP22_1x_0)</f>
        <v>7489.93</v>
      </c>
      <c r="Q22" s="1"/>
      <c r="R22" s="5">
        <f t="shared" ref="R22:R27" si="12">IF(P$12=0,0,P22/P$12)</f>
        <v>0</v>
      </c>
      <c r="S22" s="1"/>
      <c r="T22" s="1">
        <f>SUM(OSRRefT22_1x_0)</f>
        <v>0</v>
      </c>
      <c r="U22" s="1"/>
      <c r="V22" s="5">
        <f t="shared" ref="V22:V27" si="13">IF(T$12=0,0,T22/T$12)</f>
        <v>0</v>
      </c>
      <c r="W22" s="1"/>
      <c r="X22" s="1">
        <f t="shared" ref="X22:X27" si="14">+P22-T22</f>
        <v>7489.93</v>
      </c>
      <c r="Y22" s="1"/>
      <c r="Z22" s="5">
        <f t="shared" ref="Z22:Z27" si="15">IF(T22=0,0,X22/T22)</f>
        <v>0</v>
      </c>
    </row>
    <row r="23" spans="1:26" s="24" customFormat="1" hidden="1" outlineLevel="2" x14ac:dyDescent="0.25">
      <c r="A23" s="28"/>
      <c r="B23" s="11" t="str">
        <f>CONCATENATE("          ", "6279", " - ", "GENERAL EXPENSE")</f>
        <v xml:space="preserve">          6279 - GENERAL EXPENSE</v>
      </c>
      <c r="C23" s="11"/>
      <c r="D23" s="7"/>
      <c r="E23" s="2"/>
      <c r="F23" s="6">
        <f t="shared" si="8"/>
        <v>0</v>
      </c>
      <c r="G23" s="2"/>
      <c r="H23" s="7"/>
      <c r="I23" s="2"/>
      <c r="J23" s="6">
        <f t="shared" si="9"/>
        <v>0</v>
      </c>
      <c r="K23" s="2"/>
      <c r="L23" s="7">
        <f t="shared" si="10"/>
        <v>0</v>
      </c>
      <c r="M23" s="2"/>
      <c r="N23" s="6">
        <f t="shared" si="11"/>
        <v>0</v>
      </c>
      <c r="O23" s="11"/>
      <c r="P23" s="7">
        <v>7489.93</v>
      </c>
      <c r="Q23" s="2"/>
      <c r="R23" s="6">
        <f t="shared" si="12"/>
        <v>0</v>
      </c>
      <c r="S23" s="2"/>
      <c r="T23" s="7"/>
      <c r="U23" s="2"/>
      <c r="V23" s="6">
        <f t="shared" si="13"/>
        <v>0</v>
      </c>
      <c r="W23" s="2"/>
      <c r="X23" s="7">
        <f t="shared" si="14"/>
        <v>7489.93</v>
      </c>
      <c r="Y23" s="2"/>
      <c r="Z23" s="6">
        <f t="shared" si="15"/>
        <v>0</v>
      </c>
    </row>
    <row r="24" spans="1:26" s="27" customFormat="1" outlineLevel="1" collapsed="1" x14ac:dyDescent="0.25">
      <c r="A24" s="29"/>
      <c r="B24" s="14" t="str">
        <f>CONCATENATE("     ","Supplies                                          ")</f>
        <v xml:space="preserve">     Supplies                                          </v>
      </c>
      <c r="C24" s="14"/>
      <c r="D24" s="1">
        <f>SUM(OSRRefD22_2x_0)</f>
        <v>0</v>
      </c>
      <c r="E24" s="1"/>
      <c r="F24" s="5">
        <f t="shared" si="8"/>
        <v>0</v>
      </c>
      <c r="G24" s="1"/>
      <c r="H24" s="1">
        <f>SUM(OSRRefH22_2x_0)</f>
        <v>0</v>
      </c>
      <c r="I24" s="1"/>
      <c r="J24" s="5">
        <f t="shared" si="9"/>
        <v>0</v>
      </c>
      <c r="K24" s="1"/>
      <c r="L24" s="1">
        <f t="shared" si="10"/>
        <v>0</v>
      </c>
      <c r="M24" s="1"/>
      <c r="N24" s="5">
        <f t="shared" si="11"/>
        <v>0</v>
      </c>
      <c r="O24" s="14"/>
      <c r="P24" s="1">
        <f>SUM(OSRRefP22_2x_0)</f>
        <v>498.58</v>
      </c>
      <c r="Q24" s="1"/>
      <c r="R24" s="5">
        <f t="shared" si="12"/>
        <v>0</v>
      </c>
      <c r="S24" s="1"/>
      <c r="T24" s="1">
        <f>SUM(OSRRefT22_2x_0)</f>
        <v>-56.3</v>
      </c>
      <c r="U24" s="1"/>
      <c r="V24" s="5">
        <f t="shared" si="13"/>
        <v>0</v>
      </c>
      <c r="W24" s="1"/>
      <c r="X24" s="1">
        <f t="shared" si="14"/>
        <v>554.88</v>
      </c>
      <c r="Y24" s="1"/>
      <c r="Z24" s="5">
        <f t="shared" si="15"/>
        <v>-9.8557726465364119</v>
      </c>
    </row>
    <row r="25" spans="1:26" s="24" customFormat="1" hidden="1" outlineLevel="2" x14ac:dyDescent="0.25">
      <c r="A25" s="28"/>
      <c r="B25" s="11" t="str">
        <f>CONCATENATE("          ", "6241", " - ", "OFFICE EXPENSE")</f>
        <v xml:space="preserve">          6241 - OFFICE EXPENSE</v>
      </c>
      <c r="C25" s="11"/>
      <c r="D25" s="7"/>
      <c r="E25" s="2"/>
      <c r="F25" s="6">
        <f t="shared" si="8"/>
        <v>0</v>
      </c>
      <c r="G25" s="2"/>
      <c r="H25" s="7"/>
      <c r="I25" s="2"/>
      <c r="J25" s="6">
        <f t="shared" si="9"/>
        <v>0</v>
      </c>
      <c r="K25" s="2"/>
      <c r="L25" s="7">
        <f t="shared" si="10"/>
        <v>0</v>
      </c>
      <c r="M25" s="2"/>
      <c r="N25" s="6">
        <f t="shared" si="11"/>
        <v>0</v>
      </c>
      <c r="O25" s="11"/>
      <c r="P25" s="7">
        <v>498.58</v>
      </c>
      <c r="Q25" s="2"/>
      <c r="R25" s="6">
        <f t="shared" si="12"/>
        <v>0</v>
      </c>
      <c r="S25" s="2"/>
      <c r="T25" s="7">
        <v>-56.3</v>
      </c>
      <c r="U25" s="2"/>
      <c r="V25" s="6">
        <f t="shared" si="13"/>
        <v>0</v>
      </c>
      <c r="W25" s="2"/>
      <c r="X25" s="7">
        <f t="shared" si="14"/>
        <v>554.88</v>
      </c>
      <c r="Y25" s="2"/>
      <c r="Z25" s="6">
        <f t="shared" si="15"/>
        <v>-9.8557726465364119</v>
      </c>
    </row>
    <row r="26" spans="1:26" s="27" customFormat="1" outlineLevel="1" collapsed="1" x14ac:dyDescent="0.25">
      <c r="A26" s="29"/>
      <c r="B26" s="14" t="str">
        <f>CONCATENATE("     ","Telephone/Data Lines                              ")</f>
        <v xml:space="preserve">     Telephone/Data Lines                              </v>
      </c>
      <c r="C26" s="14"/>
      <c r="D26" s="1">
        <f>SUM(OSRRefD22_3x_0)</f>
        <v>68.5</v>
      </c>
      <c r="E26" s="1"/>
      <c r="F26" s="5">
        <f t="shared" si="8"/>
        <v>0</v>
      </c>
      <c r="G26" s="1"/>
      <c r="H26" s="1">
        <f>SUM(OSRRefH22_3x_0)</f>
        <v>200</v>
      </c>
      <c r="I26" s="1"/>
      <c r="J26" s="5">
        <f t="shared" si="9"/>
        <v>0</v>
      </c>
      <c r="K26" s="1"/>
      <c r="L26" s="1">
        <f t="shared" si="10"/>
        <v>-131.5</v>
      </c>
      <c r="M26" s="1"/>
      <c r="N26" s="5">
        <f t="shared" si="11"/>
        <v>-0.65749999999999997</v>
      </c>
      <c r="O26" s="14"/>
      <c r="P26" s="1">
        <f>SUM(OSRRefP22_3x_0)</f>
        <v>-27</v>
      </c>
      <c r="Q26" s="1"/>
      <c r="R26" s="5">
        <f t="shared" si="12"/>
        <v>0</v>
      </c>
      <c r="S26" s="1"/>
      <c r="T26" s="1">
        <f>SUM(OSRRefT22_3x_0)</f>
        <v>272</v>
      </c>
      <c r="U26" s="1"/>
      <c r="V26" s="5">
        <f t="shared" si="13"/>
        <v>0</v>
      </c>
      <c r="W26" s="1"/>
      <c r="X26" s="1">
        <f t="shared" si="14"/>
        <v>-299</v>
      </c>
      <c r="Y26" s="1"/>
      <c r="Z26" s="5">
        <f t="shared" si="15"/>
        <v>-1.099264705882353</v>
      </c>
    </row>
    <row r="27" spans="1:26" s="24" customFormat="1" hidden="1" outlineLevel="2" x14ac:dyDescent="0.25">
      <c r="A27" s="28"/>
      <c r="B27" s="11" t="str">
        <f>CONCATENATE("          ", "6309", " - ", "TELEPHONE")</f>
        <v xml:space="preserve">          6309 - TELEPHONE</v>
      </c>
      <c r="C27" s="11"/>
      <c r="D27" s="7">
        <v>68.5</v>
      </c>
      <c r="E27" s="2"/>
      <c r="F27" s="6">
        <f t="shared" si="8"/>
        <v>0</v>
      </c>
      <c r="G27" s="2"/>
      <c r="H27" s="7">
        <v>200</v>
      </c>
      <c r="I27" s="2"/>
      <c r="J27" s="6">
        <f t="shared" si="9"/>
        <v>0</v>
      </c>
      <c r="K27" s="2"/>
      <c r="L27" s="7">
        <f t="shared" si="10"/>
        <v>-131.5</v>
      </c>
      <c r="M27" s="2"/>
      <c r="N27" s="6">
        <f t="shared" si="11"/>
        <v>-0.65749999999999997</v>
      </c>
      <c r="O27" s="11"/>
      <c r="P27" s="7">
        <v>-27</v>
      </c>
      <c r="Q27" s="2"/>
      <c r="R27" s="6">
        <f t="shared" si="12"/>
        <v>0</v>
      </c>
      <c r="S27" s="2"/>
      <c r="T27" s="7">
        <v>272</v>
      </c>
      <c r="U27" s="2"/>
      <c r="V27" s="6">
        <f t="shared" si="13"/>
        <v>0</v>
      </c>
      <c r="W27" s="2"/>
      <c r="X27" s="7">
        <f t="shared" si="14"/>
        <v>-299</v>
      </c>
      <c r="Y27" s="2"/>
      <c r="Z27" s="6">
        <f t="shared" si="15"/>
        <v>-1.099264705882353</v>
      </c>
    </row>
    <row r="28" spans="1:26" s="54" customFormat="1" x14ac:dyDescent="0.25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collapsed="1" x14ac:dyDescent="0.25">
      <c r="A29" s="10"/>
      <c r="B29" s="26" t="s">
        <v>292</v>
      </c>
      <c r="C29" s="10"/>
      <c r="D29" s="4">
        <f>SUM(OSRRefD25x_0)</f>
        <v>14180.35</v>
      </c>
      <c r="E29" s="4"/>
      <c r="F29" s="12">
        <f t="shared" ref="F29:F30" si="16">IF(D$12=0,0,D29/D$12)</f>
        <v>0</v>
      </c>
      <c r="G29" s="4"/>
      <c r="H29" s="4">
        <f>SUM(OSRRefH25x_0)</f>
        <v>0</v>
      </c>
      <c r="I29" s="4"/>
      <c r="J29" s="12">
        <f t="shared" ref="J29:J30" si="17">IF(H$12=0,0,H29/H$12)</f>
        <v>0</v>
      </c>
      <c r="K29" s="4"/>
      <c r="L29" s="4">
        <f t="shared" ref="L29:L30" si="18">+D29-H29</f>
        <v>14180.35</v>
      </c>
      <c r="M29" s="4"/>
      <c r="N29" s="12">
        <f t="shared" ref="N29:N30" si="19">IF(H29=0,0,L29/H29)</f>
        <v>0</v>
      </c>
      <c r="O29" s="10"/>
      <c r="P29" s="4">
        <f>SUM(OSRRefP25x_0)</f>
        <v>14180.35</v>
      </c>
      <c r="Q29" s="4"/>
      <c r="R29" s="12">
        <f t="shared" ref="R29:R30" si="20">IF(P$12=0,0,P29/P$12)</f>
        <v>0</v>
      </c>
      <c r="S29" s="4"/>
      <c r="T29" s="4">
        <f>SUM(OSRRefT25x_0)</f>
        <v>0</v>
      </c>
      <c r="U29" s="4"/>
      <c r="V29" s="12">
        <f t="shared" ref="V29:V30" si="21">IF(T$12=0,0,T29/T$12)</f>
        <v>0</v>
      </c>
      <c r="W29" s="4"/>
      <c r="X29" s="4">
        <f t="shared" ref="X29:X30" si="22">+P29-T29</f>
        <v>14180.35</v>
      </c>
      <c r="Y29" s="4"/>
      <c r="Z29" s="12">
        <f t="shared" ref="Z29:Z30" si="23">IF(T29=0,0,X29/T29)</f>
        <v>0</v>
      </c>
    </row>
    <row r="30" spans="1:26" s="24" customFormat="1" hidden="1" outlineLevel="1" x14ac:dyDescent="0.25">
      <c r="A30" s="44"/>
      <c r="B30" s="11" t="str">
        <f>CONCATENATE("          ", "9150", " - ", "MISC. INCOME")</f>
        <v xml:space="preserve">          9150 - MISC. INCOME</v>
      </c>
      <c r="C30" s="11"/>
      <c r="D30" s="2">
        <f>--14180.35</f>
        <v>14180.35</v>
      </c>
      <c r="E30" s="2"/>
      <c r="F30" s="19">
        <f t="shared" si="16"/>
        <v>0</v>
      </c>
      <c r="G30" s="2"/>
      <c r="H30" s="2">
        <f>0</f>
        <v>0</v>
      </c>
      <c r="I30" s="2"/>
      <c r="J30" s="19">
        <f t="shared" si="17"/>
        <v>0</v>
      </c>
      <c r="K30" s="2"/>
      <c r="L30" s="2">
        <f t="shared" si="18"/>
        <v>14180.35</v>
      </c>
      <c r="M30" s="2"/>
      <c r="N30" s="19">
        <f t="shared" si="19"/>
        <v>0</v>
      </c>
      <c r="O30" s="11"/>
      <c r="P30" s="2">
        <f>--14180.35</f>
        <v>14180.35</v>
      </c>
      <c r="Q30" s="2"/>
      <c r="R30" s="19">
        <f t="shared" si="20"/>
        <v>0</v>
      </c>
      <c r="S30" s="2"/>
      <c r="T30" s="2">
        <f>0</f>
        <v>0</v>
      </c>
      <c r="U30" s="2"/>
      <c r="V30" s="19">
        <f t="shared" si="21"/>
        <v>0</v>
      </c>
      <c r="W30" s="2"/>
      <c r="X30" s="2">
        <f t="shared" si="22"/>
        <v>14180.35</v>
      </c>
      <c r="Y30" s="2"/>
      <c r="Z30" s="19">
        <f t="shared" si="23"/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5" t="s">
        <v>276</v>
      </c>
      <c r="C32" s="25"/>
      <c r="D32" s="21">
        <f>+D16-D18+D29</f>
        <v>14111.85</v>
      </c>
      <c r="E32" s="13"/>
      <c r="F32" s="22">
        <f>IF(D$12=0,0,D32/D$12)</f>
        <v>0</v>
      </c>
      <c r="G32" s="13"/>
      <c r="H32" s="21">
        <f>+H16-H18+H29</f>
        <v>-200</v>
      </c>
      <c r="I32" s="13"/>
      <c r="J32" s="22">
        <f>IF(H$12=0,0,H32/H$12)</f>
        <v>0</v>
      </c>
      <c r="K32" s="16"/>
      <c r="L32" s="21">
        <f>+D32-H32</f>
        <v>14311.85</v>
      </c>
      <c r="M32" s="16"/>
      <c r="N32" s="22">
        <f>IF(H32=0,0,L32/H32)</f>
        <v>-71.559250000000006</v>
      </c>
      <c r="O32" s="26"/>
      <c r="P32" s="21">
        <f>+P16-P18+P29</f>
        <v>6218.84</v>
      </c>
      <c r="Q32" s="13"/>
      <c r="R32" s="22">
        <f>IF(P$12=0,0,P32/P$12)</f>
        <v>0</v>
      </c>
      <c r="S32" s="13"/>
      <c r="T32" s="21">
        <f>+T16-T18+T29</f>
        <v>-2694.43</v>
      </c>
      <c r="U32" s="13"/>
      <c r="V32" s="22">
        <f>IF(T$12=0,0,T32/T$12)</f>
        <v>0</v>
      </c>
      <c r="W32" s="16"/>
      <c r="X32" s="21">
        <f>+P32-T32</f>
        <v>8913.27</v>
      </c>
      <c r="Y32" s="16"/>
      <c r="Z32" s="22">
        <f>IF(T32=0,0,X32/T32)</f>
        <v>-3.3080354657571363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125</v>
      </c>
      <c r="C36" s="25"/>
      <c r="D36" s="33">
        <f>+D32-D34</f>
        <v>14111.85</v>
      </c>
      <c r="E36" s="13"/>
      <c r="F36" s="35">
        <f>IF(D$12=0,0,D36/D$12)</f>
        <v>0</v>
      </c>
      <c r="G36" s="13"/>
      <c r="H36" s="33">
        <f>+H32-H34</f>
        <v>-200</v>
      </c>
      <c r="I36" s="13"/>
      <c r="J36" s="35">
        <f>IF(H$12=0,0,H36/H$12)</f>
        <v>0</v>
      </c>
      <c r="K36" s="16"/>
      <c r="L36" s="33">
        <f>D36-H36</f>
        <v>14311.85</v>
      </c>
      <c r="M36" s="16"/>
      <c r="N36" s="35">
        <f>IF(H36=0,0,L36/H36)</f>
        <v>-71.559250000000006</v>
      </c>
      <c r="O36" s="26"/>
      <c r="P36" s="33">
        <f>+P32-P34</f>
        <v>6218.84</v>
      </c>
      <c r="Q36" s="13"/>
      <c r="R36" s="35">
        <f>IF(P$12=0,0,P36/P$12)</f>
        <v>0</v>
      </c>
      <c r="S36" s="13"/>
      <c r="T36" s="33">
        <f>+T32-T34</f>
        <v>-2694.43</v>
      </c>
      <c r="U36" s="13"/>
      <c r="V36" s="35">
        <f>IF(T$12=0,0,T36/T$12)</f>
        <v>0</v>
      </c>
      <c r="W36" s="16"/>
      <c r="X36" s="33">
        <f>P36-T36</f>
        <v>8913.27</v>
      </c>
      <c r="Y36" s="16"/>
      <c r="Z36" s="35">
        <f>IF(T36=0,0,X36/T36)</f>
        <v>-3.3080354657571363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5" t="s">
        <v>293</v>
      </c>
      <c r="C39" s="25"/>
      <c r="D39" s="31">
        <f>SUM(D36:D38)</f>
        <v>14111.85</v>
      </c>
      <c r="E39" s="13"/>
      <c r="F39" s="32">
        <f>IF(D$12=0,0,D39/D$12)</f>
        <v>0</v>
      </c>
      <c r="G39" s="13"/>
      <c r="H39" s="31">
        <f>SUM(H36:H38)</f>
        <v>-200</v>
      </c>
      <c r="I39" s="13"/>
      <c r="J39" s="32">
        <f>IF(H$12=0,0,H39/H$12)</f>
        <v>0</v>
      </c>
      <c r="K39" s="16"/>
      <c r="L39" s="31">
        <f>+D39-H39</f>
        <v>14311.85</v>
      </c>
      <c r="M39" s="16"/>
      <c r="N39" s="32">
        <f>IF(H39=0,0,L39/H39)</f>
        <v>-71.559250000000006</v>
      </c>
      <c r="O39" s="26"/>
      <c r="P39" s="31">
        <f>SUM(P36:P38)</f>
        <v>6218.84</v>
      </c>
      <c r="Q39" s="13"/>
      <c r="R39" s="32">
        <f>IF(P$12=0,0,P39/P$12)</f>
        <v>0</v>
      </c>
      <c r="S39" s="13"/>
      <c r="T39" s="31">
        <f>SUM(T36:T38)</f>
        <v>-2694.43</v>
      </c>
      <c r="U39" s="13"/>
      <c r="V39" s="32">
        <f>IF(T$12=0,0,T39/T$12)</f>
        <v>0</v>
      </c>
      <c r="W39" s="16"/>
      <c r="X39" s="31">
        <f>+P39-T39</f>
        <v>8913.27</v>
      </c>
      <c r="Y39" s="16"/>
      <c r="Z39" s="32">
        <f>IF(T39=0,0,X39/T39)</f>
        <v>-3.3080354657571363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8">
        <v>44481.985668518515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3" t="s">
        <v>56</v>
      </c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A43" s="9"/>
      <c r="B43" s="52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","424", " - ", "Blair Field")</f>
        <v>Department 424 - Blair Field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479.29</v>
      </c>
      <c r="E18" s="20"/>
      <c r="F18" s="30">
        <f t="shared" ref="F18:F26" si="0">IF(D$12=0,0,D18/D$12)</f>
        <v>0</v>
      </c>
      <c r="G18" s="20"/>
      <c r="H18" s="20">
        <f>SUM(OSRRefH22x_0)</f>
        <v>555.02</v>
      </c>
      <c r="I18" s="20"/>
      <c r="J18" s="30">
        <f t="shared" ref="J18:J26" si="1">IF(H$12=0,0,H18/H$12)</f>
        <v>0</v>
      </c>
      <c r="K18" s="4"/>
      <c r="L18" s="20">
        <f t="shared" ref="L18:L26" si="2">+D18-H18</f>
        <v>-75.729999999999961</v>
      </c>
      <c r="M18" s="4"/>
      <c r="N18" s="30">
        <f t="shared" ref="N18:N26" si="3">IF(H18=0,0,L18/H18)</f>
        <v>-0.13644553349428842</v>
      </c>
      <c r="O18" s="10"/>
      <c r="P18" s="20">
        <f>SUM(OSRRefP22x_0)</f>
        <v>1437.87</v>
      </c>
      <c r="Q18" s="20"/>
      <c r="R18" s="30">
        <f t="shared" ref="R18:R26" si="4">IF(P$12=0,0,P18/P$12)</f>
        <v>0</v>
      </c>
      <c r="S18" s="20"/>
      <c r="T18" s="20">
        <f>SUM(OSRRefT22x_0)</f>
        <v>2539.7600000000002</v>
      </c>
      <c r="U18" s="20"/>
      <c r="V18" s="30">
        <f t="shared" ref="V18:V26" si="5">IF(T$12=0,0,T18/T$12)</f>
        <v>0</v>
      </c>
      <c r="W18" s="4"/>
      <c r="X18" s="20">
        <f t="shared" ref="X18:X26" si="6">+P18-T18</f>
        <v>-1101.8900000000003</v>
      </c>
      <c r="Y18" s="4"/>
      <c r="Z18" s="30">
        <f t="shared" ref="Z18:Z26" si="7">IF(T18=0,0,X18/T18)</f>
        <v>-0.43385595489337586</v>
      </c>
    </row>
    <row r="19" spans="1:26" s="27" customFormat="1" outlineLevel="1" collapsed="1" x14ac:dyDescent="0.25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479.29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1437.87</v>
      </c>
      <c r="Q19" s="1"/>
      <c r="R19" s="5">
        <f t="shared" si="4"/>
        <v>0</v>
      </c>
      <c r="S19" s="1"/>
      <c r="T19" s="1">
        <f>SUM(OSRRefT22_0x_0)</f>
        <v>1437.87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25">
      <c r="A20" s="28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479.29</v>
      </c>
      <c r="E20" s="2"/>
      <c r="F20" s="6">
        <f t="shared" si="0"/>
        <v>0</v>
      </c>
      <c r="G20" s="2"/>
      <c r="H20" s="7">
        <v>479.29</v>
      </c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1437.87</v>
      </c>
      <c r="Q20" s="2"/>
      <c r="R20" s="6">
        <f t="shared" si="4"/>
        <v>0</v>
      </c>
      <c r="S20" s="2"/>
      <c r="T20" s="7">
        <v>1437.87</v>
      </c>
      <c r="U20" s="2"/>
      <c r="V20" s="6">
        <f t="shared" si="5"/>
        <v>0</v>
      </c>
      <c r="W20" s="2"/>
      <c r="X20" s="7">
        <f t="shared" si="6"/>
        <v>0</v>
      </c>
      <c r="Y20" s="2"/>
      <c r="Z20" s="6">
        <f t="shared" si="7"/>
        <v>0</v>
      </c>
    </row>
    <row r="21" spans="1:26" s="27" customFormat="1" outlineLevel="1" collapsed="1" x14ac:dyDescent="0.25">
      <c r="A21" s="29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519.54999999999995</v>
      </c>
      <c r="U21" s="1"/>
      <c r="V21" s="5">
        <f t="shared" si="5"/>
        <v>0</v>
      </c>
      <c r="W21" s="1"/>
      <c r="X21" s="1">
        <f t="shared" si="6"/>
        <v>-519.54999999999995</v>
      </c>
      <c r="Y21" s="1"/>
      <c r="Z21" s="5">
        <f t="shared" si="7"/>
        <v>-1</v>
      </c>
    </row>
    <row r="22" spans="1:26" s="24" customFormat="1" hidden="1" outlineLevel="2" x14ac:dyDescent="0.25">
      <c r="A22" s="28"/>
      <c r="B22" s="11" t="str">
        <f>CONCATENATE("          ", "6279", " - ", "GENERAL EXPENSE")</f>
        <v xml:space="preserve">          6279 - GENERAL EXPENSE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519.54999999999995</v>
      </c>
      <c r="U22" s="2"/>
      <c r="V22" s="6">
        <f t="shared" si="5"/>
        <v>0</v>
      </c>
      <c r="W22" s="2"/>
      <c r="X22" s="7">
        <f t="shared" si="6"/>
        <v>-519.54999999999995</v>
      </c>
      <c r="Y22" s="2"/>
      <c r="Z22" s="6">
        <f t="shared" si="7"/>
        <v>-1</v>
      </c>
    </row>
    <row r="23" spans="1:26" s="27" customFormat="1" outlineLevel="1" collapsed="1" x14ac:dyDescent="0.25">
      <c r="A23" s="29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75.73</v>
      </c>
      <c r="I23" s="1"/>
      <c r="J23" s="5">
        <f t="shared" si="1"/>
        <v>0</v>
      </c>
      <c r="K23" s="1"/>
      <c r="L23" s="1">
        <f t="shared" si="2"/>
        <v>-75.73</v>
      </c>
      <c r="M23" s="1"/>
      <c r="N23" s="5">
        <f t="shared" si="3"/>
        <v>-1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154.33000000000001</v>
      </c>
      <c r="U23" s="1"/>
      <c r="V23" s="5">
        <f t="shared" si="5"/>
        <v>0</v>
      </c>
      <c r="W23" s="1"/>
      <c r="X23" s="1">
        <f t="shared" si="6"/>
        <v>-154.33000000000001</v>
      </c>
      <c r="Y23" s="1"/>
      <c r="Z23" s="5">
        <f t="shared" si="7"/>
        <v>-1</v>
      </c>
    </row>
    <row r="24" spans="1:26" s="24" customFormat="1" hidden="1" outlineLevel="2" x14ac:dyDescent="0.25">
      <c r="A24" s="28"/>
      <c r="B24" s="11" t="str">
        <f>CONCATENATE("          ", "6373", " - ", "MAINTENANCE CONTRACTS")</f>
        <v xml:space="preserve">          6373 - MAINTENANCE CONTRACTS</v>
      </c>
      <c r="C24" s="11"/>
      <c r="D24" s="7"/>
      <c r="E24" s="2"/>
      <c r="F24" s="6">
        <f t="shared" si="0"/>
        <v>0</v>
      </c>
      <c r="G24" s="2"/>
      <c r="H24" s="7">
        <v>75.73</v>
      </c>
      <c r="I24" s="2"/>
      <c r="J24" s="6">
        <f t="shared" si="1"/>
        <v>0</v>
      </c>
      <c r="K24" s="2"/>
      <c r="L24" s="7">
        <f t="shared" si="2"/>
        <v>-75.73</v>
      </c>
      <c r="M24" s="2"/>
      <c r="N24" s="6">
        <f t="shared" si="3"/>
        <v>-1</v>
      </c>
      <c r="O24" s="11"/>
      <c r="P24" s="7"/>
      <c r="Q24" s="2"/>
      <c r="R24" s="6">
        <f t="shared" si="4"/>
        <v>0</v>
      </c>
      <c r="S24" s="2"/>
      <c r="T24" s="7">
        <v>154.33000000000001</v>
      </c>
      <c r="U24" s="2"/>
      <c r="V24" s="6">
        <f t="shared" si="5"/>
        <v>0</v>
      </c>
      <c r="W24" s="2"/>
      <c r="X24" s="7">
        <f t="shared" si="6"/>
        <v>-154.33000000000001</v>
      </c>
      <c r="Y24" s="2"/>
      <c r="Z24" s="6">
        <f t="shared" si="7"/>
        <v>-1</v>
      </c>
    </row>
    <row r="25" spans="1:26" s="27" customFormat="1" outlineLevel="1" collapsed="1" x14ac:dyDescent="0.25">
      <c r="A25" s="29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428.01</v>
      </c>
      <c r="U25" s="1"/>
      <c r="V25" s="5">
        <f t="shared" si="5"/>
        <v>0</v>
      </c>
      <c r="W25" s="1"/>
      <c r="X25" s="1">
        <f t="shared" si="6"/>
        <v>-428.01</v>
      </c>
      <c r="Y25" s="1"/>
      <c r="Z25" s="5">
        <f t="shared" si="7"/>
        <v>-1</v>
      </c>
    </row>
    <row r="26" spans="1:26" s="24" customFormat="1" hidden="1" outlineLevel="2" x14ac:dyDescent="0.25">
      <c r="A26" s="28"/>
      <c r="B26" s="11" t="str">
        <f>CONCATENATE("          ", "6309", " - ", "TELEPHONE")</f>
        <v xml:space="preserve">          6309 - TELEPHONE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/>
      <c r="Q26" s="2"/>
      <c r="R26" s="6">
        <f t="shared" si="4"/>
        <v>0</v>
      </c>
      <c r="S26" s="2"/>
      <c r="T26" s="7">
        <v>428.01</v>
      </c>
      <c r="U26" s="2"/>
      <c r="V26" s="6">
        <f t="shared" si="5"/>
        <v>0</v>
      </c>
      <c r="W26" s="2"/>
      <c r="X26" s="7">
        <f t="shared" si="6"/>
        <v>-428.01</v>
      </c>
      <c r="Y26" s="2"/>
      <c r="Z26" s="6">
        <f t="shared" si="7"/>
        <v>-1</v>
      </c>
    </row>
    <row r="27" spans="1:26" s="54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292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5" t="s">
        <v>276</v>
      </c>
      <c r="C30" s="25"/>
      <c r="D30" s="21">
        <f>+D16-D18+D28</f>
        <v>-479.29</v>
      </c>
      <c r="E30" s="13"/>
      <c r="F30" s="22">
        <f>IF(D$12=0,0,D30/D$12)</f>
        <v>0</v>
      </c>
      <c r="G30" s="13"/>
      <c r="H30" s="21">
        <f>+H16-H18+H28</f>
        <v>-555.02</v>
      </c>
      <c r="I30" s="13"/>
      <c r="J30" s="22">
        <f>IF(H$12=0,0,H30/H$12)</f>
        <v>0</v>
      </c>
      <c r="K30" s="16"/>
      <c r="L30" s="21">
        <f>+D30-H30</f>
        <v>75.729999999999961</v>
      </c>
      <c r="M30" s="16"/>
      <c r="N30" s="22">
        <f>IF(H30=0,0,L30/H30)</f>
        <v>-0.13644553349428842</v>
      </c>
      <c r="O30" s="26"/>
      <c r="P30" s="21">
        <f>+P16-P18+P28</f>
        <v>-1437.87</v>
      </c>
      <c r="Q30" s="13"/>
      <c r="R30" s="22">
        <f>IF(P$12=0,0,P30/P$12)</f>
        <v>0</v>
      </c>
      <c r="S30" s="13"/>
      <c r="T30" s="21">
        <f>+T16-T18+T28</f>
        <v>-2539.7600000000002</v>
      </c>
      <c r="U30" s="13"/>
      <c r="V30" s="22">
        <f>IF(T$12=0,0,T30/T$12)</f>
        <v>0</v>
      </c>
      <c r="W30" s="16"/>
      <c r="X30" s="21">
        <f>+P30-T30</f>
        <v>1101.8900000000003</v>
      </c>
      <c r="Y30" s="16"/>
      <c r="Z30" s="22">
        <f>IF(T30=0,0,X30/T30)</f>
        <v>-0.43385595489337586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127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5" t="s">
        <v>125</v>
      </c>
      <c r="C34" s="25"/>
      <c r="D34" s="33">
        <f>+D30-D32</f>
        <v>-479.29</v>
      </c>
      <c r="E34" s="13"/>
      <c r="F34" s="35">
        <f>IF(D$12=0,0,D34/D$12)</f>
        <v>0</v>
      </c>
      <c r="G34" s="13"/>
      <c r="H34" s="33">
        <f>+H30-H32</f>
        <v>-555.02</v>
      </c>
      <c r="I34" s="13"/>
      <c r="J34" s="35">
        <f>IF(H$12=0,0,H34/H$12)</f>
        <v>0</v>
      </c>
      <c r="K34" s="16"/>
      <c r="L34" s="33">
        <f>D34-H34</f>
        <v>75.729999999999961</v>
      </c>
      <c r="M34" s="16"/>
      <c r="N34" s="35">
        <f>IF(H34=0,0,L34/H34)</f>
        <v>-0.13644553349428842</v>
      </c>
      <c r="O34" s="26"/>
      <c r="P34" s="33">
        <f>+P30-P32</f>
        <v>-1437.87</v>
      </c>
      <c r="Q34" s="13"/>
      <c r="R34" s="35">
        <f>IF(P$12=0,0,P34/P$12)</f>
        <v>0</v>
      </c>
      <c r="S34" s="13"/>
      <c r="T34" s="33">
        <f>+T30-T32</f>
        <v>-2539.7600000000002</v>
      </c>
      <c r="U34" s="13"/>
      <c r="V34" s="35">
        <f>IF(T$12=0,0,T34/T$12)</f>
        <v>0</v>
      </c>
      <c r="W34" s="16"/>
      <c r="X34" s="33">
        <f>P34-T34</f>
        <v>1101.8900000000003</v>
      </c>
      <c r="Y34" s="16"/>
      <c r="Z34" s="35">
        <f>IF(T34=0,0,X34/T34)</f>
        <v>-0.43385595489337586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5" t="s">
        <v>293</v>
      </c>
      <c r="C37" s="25"/>
      <c r="D37" s="31">
        <f>SUM(D34:D36)</f>
        <v>-479.29</v>
      </c>
      <c r="E37" s="13"/>
      <c r="F37" s="32">
        <f>IF(D$12=0,0,D37/D$12)</f>
        <v>0</v>
      </c>
      <c r="G37" s="13"/>
      <c r="H37" s="31">
        <f>SUM(H34:H36)</f>
        <v>-555.02</v>
      </c>
      <c r="I37" s="13"/>
      <c r="J37" s="32">
        <f>IF(H$12=0,0,H37/H$12)</f>
        <v>0</v>
      </c>
      <c r="K37" s="16"/>
      <c r="L37" s="31">
        <f>+D37-H37</f>
        <v>75.729999999999961</v>
      </c>
      <c r="M37" s="16"/>
      <c r="N37" s="32">
        <f>IF(H37=0,0,L37/H37)</f>
        <v>-0.13644553349428842</v>
      </c>
      <c r="O37" s="26"/>
      <c r="P37" s="31">
        <f>SUM(P34:P36)</f>
        <v>-1437.87</v>
      </c>
      <c r="Q37" s="13"/>
      <c r="R37" s="32">
        <f>IF(P$12=0,0,P37/P$12)</f>
        <v>0</v>
      </c>
      <c r="S37" s="13"/>
      <c r="T37" s="31">
        <f>SUM(T34:T36)</f>
        <v>-2539.7600000000002</v>
      </c>
      <c r="U37" s="13"/>
      <c r="V37" s="32">
        <f>IF(T$12=0,0,T37/T$12)</f>
        <v>0</v>
      </c>
      <c r="W37" s="16"/>
      <c r="X37" s="31">
        <f>+P37-T37</f>
        <v>1101.8900000000003</v>
      </c>
      <c r="Y37" s="16"/>
      <c r="Z37" s="32">
        <f>IF(T37=0,0,X37/T37)</f>
        <v>-0.43385595489337586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8">
        <v>44481.985668518515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3" t="s">
        <v>56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2"/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</sheetPr>
  <dimension ref="A2:Z4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","425", " - ", "Events Center")</f>
        <v>Department 425 - Events Center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6" t="s">
        <v>256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-1034.73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-1034.73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-1034.73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-1034.73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107</v>
      </c>
      <c r="C17" s="25"/>
      <c r="D17" s="21">
        <f>D12-D14</f>
        <v>0</v>
      </c>
      <c r="E17" s="13"/>
      <c r="F17" s="22">
        <f>IF(D$12=0,0,D17/D$12)</f>
        <v>0</v>
      </c>
      <c r="G17" s="13"/>
      <c r="H17" s="21">
        <f>H12-H14</f>
        <v>0</v>
      </c>
      <c r="I17" s="13"/>
      <c r="J17" s="22">
        <f>IF(H$12=0,0,H17/H$12)</f>
        <v>0</v>
      </c>
      <c r="K17" s="16"/>
      <c r="L17" s="21">
        <f>+D17-H17</f>
        <v>0</v>
      </c>
      <c r="M17" s="16"/>
      <c r="N17" s="22">
        <f>IF(H17=0,0,L17/H17)</f>
        <v>0</v>
      </c>
      <c r="O17" s="26"/>
      <c r="P17" s="21">
        <f>P12-P14</f>
        <v>1034.73</v>
      </c>
      <c r="Q17" s="13"/>
      <c r="R17" s="22">
        <f>IF(P$12=0,0,P17/P$12)</f>
        <v>0</v>
      </c>
      <c r="S17" s="13"/>
      <c r="T17" s="21">
        <f>T12-T14</f>
        <v>0</v>
      </c>
      <c r="U17" s="13"/>
      <c r="V17" s="22">
        <f>IF(T$12=0,0,T17/T$12)</f>
        <v>0</v>
      </c>
      <c r="W17" s="16"/>
      <c r="X17" s="21">
        <f>+P17-T17</f>
        <v>1034.73</v>
      </c>
      <c r="Y17" s="16"/>
      <c r="Z17" s="22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294</v>
      </c>
      <c r="C19" s="10"/>
      <c r="D19" s="20">
        <f>SUM(OSRRefD22x_0)</f>
        <v>1000.91</v>
      </c>
      <c r="E19" s="20"/>
      <c r="F19" s="30">
        <f t="shared" ref="F19:F25" si="8">IF(D$12=0,0,D19/D$12)</f>
        <v>0</v>
      </c>
      <c r="G19" s="20"/>
      <c r="H19" s="20">
        <f>SUM(OSRRefH22x_0)</f>
        <v>1000.91</v>
      </c>
      <c r="I19" s="20"/>
      <c r="J19" s="30">
        <f t="shared" ref="J19:J25" si="9">IF(H$12=0,0,H19/H$12)</f>
        <v>0</v>
      </c>
      <c r="K19" s="4"/>
      <c r="L19" s="20">
        <f t="shared" ref="L19:L25" si="10">+D19-H19</f>
        <v>0</v>
      </c>
      <c r="M19" s="4"/>
      <c r="N19" s="30">
        <f t="shared" ref="N19:N25" si="11">IF(H19=0,0,L19/H19)</f>
        <v>0</v>
      </c>
      <c r="O19" s="10"/>
      <c r="P19" s="20">
        <f>SUM(OSRRefP22x_0)</f>
        <v>3002.73</v>
      </c>
      <c r="Q19" s="20"/>
      <c r="R19" s="30">
        <f t="shared" ref="R19:R25" si="12">IF(P$12=0,0,P19/P$12)</f>
        <v>0</v>
      </c>
      <c r="S19" s="20"/>
      <c r="T19" s="20">
        <f>SUM(OSRRefT22x_0)</f>
        <v>6148.89</v>
      </c>
      <c r="U19" s="20"/>
      <c r="V19" s="30">
        <f t="shared" ref="V19:V25" si="13">IF(T$12=0,0,T19/T$12)</f>
        <v>0</v>
      </c>
      <c r="W19" s="4"/>
      <c r="X19" s="20">
        <f t="shared" ref="X19:X25" si="14">+P19-T19</f>
        <v>-3146.1600000000003</v>
      </c>
      <c r="Y19" s="4"/>
      <c r="Z19" s="30">
        <f t="shared" ref="Z19:Z25" si="15">IF(T19=0,0,X19/T19)</f>
        <v>-0.51166308065358135</v>
      </c>
    </row>
    <row r="20" spans="1:26" s="27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0</v>
      </c>
      <c r="M20" s="1"/>
      <c r="N20" s="5">
        <f t="shared" si="11"/>
        <v>0</v>
      </c>
      <c r="O20" s="14"/>
      <c r="P20" s="1">
        <f>SUM(OSRRefP22_0x_0)</f>
        <v>0</v>
      </c>
      <c r="Q20" s="1"/>
      <c r="R20" s="5">
        <f t="shared" si="12"/>
        <v>0</v>
      </c>
      <c r="S20" s="1"/>
      <c r="T20" s="1">
        <f>SUM(OSRRefT22_0x_0)</f>
        <v>1419.75</v>
      </c>
      <c r="U20" s="1"/>
      <c r="V20" s="5">
        <f t="shared" si="13"/>
        <v>0</v>
      </c>
      <c r="W20" s="1"/>
      <c r="X20" s="1">
        <f t="shared" si="14"/>
        <v>-1419.75</v>
      </c>
      <c r="Y20" s="1"/>
      <c r="Z20" s="5">
        <f t="shared" si="15"/>
        <v>-1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7"/>
      <c r="E21" s="2"/>
      <c r="F21" s="6">
        <f t="shared" si="8"/>
        <v>0</v>
      </c>
      <c r="G21" s="2"/>
      <c r="H21" s="7"/>
      <c r="I21" s="2"/>
      <c r="J21" s="6">
        <f t="shared" si="9"/>
        <v>0</v>
      </c>
      <c r="K21" s="2"/>
      <c r="L21" s="7">
        <f t="shared" si="10"/>
        <v>0</v>
      </c>
      <c r="M21" s="2"/>
      <c r="N21" s="6">
        <f t="shared" si="11"/>
        <v>0</v>
      </c>
      <c r="O21" s="11"/>
      <c r="P21" s="7"/>
      <c r="Q21" s="2"/>
      <c r="R21" s="6">
        <f t="shared" si="12"/>
        <v>0</v>
      </c>
      <c r="S21" s="2"/>
      <c r="T21" s="7">
        <v>170.79</v>
      </c>
      <c r="U21" s="2"/>
      <c r="V21" s="6">
        <f t="shared" si="13"/>
        <v>0</v>
      </c>
      <c r="W21" s="2"/>
      <c r="X21" s="7">
        <f t="shared" si="14"/>
        <v>-170.79</v>
      </c>
      <c r="Y21" s="2"/>
      <c r="Z21" s="6">
        <f t="shared" si="15"/>
        <v>-1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8"/>
        <v>0</v>
      </c>
      <c r="G22" s="2"/>
      <c r="H22" s="7"/>
      <c r="I22" s="2"/>
      <c r="J22" s="6">
        <f t="shared" si="9"/>
        <v>0</v>
      </c>
      <c r="K22" s="2"/>
      <c r="L22" s="7">
        <f t="shared" si="10"/>
        <v>0</v>
      </c>
      <c r="M22" s="2"/>
      <c r="N22" s="6">
        <f t="shared" si="11"/>
        <v>0</v>
      </c>
      <c r="O22" s="11"/>
      <c r="P22" s="7"/>
      <c r="Q22" s="2"/>
      <c r="R22" s="6">
        <f t="shared" si="12"/>
        <v>0</v>
      </c>
      <c r="S22" s="2"/>
      <c r="T22" s="7">
        <v>699.3</v>
      </c>
      <c r="U22" s="2"/>
      <c r="V22" s="6">
        <f t="shared" si="13"/>
        <v>0</v>
      </c>
      <c r="W22" s="2"/>
      <c r="X22" s="7">
        <f t="shared" si="14"/>
        <v>-699.3</v>
      </c>
      <c r="Y22" s="2"/>
      <c r="Z22" s="6">
        <f t="shared" si="15"/>
        <v>-1</v>
      </c>
    </row>
    <row r="23" spans="1:26" s="24" customFormat="1" hidden="1" outlineLevel="2" x14ac:dyDescent="0.25">
      <c r="A23" s="28"/>
      <c r="B23" s="11" t="str">
        <f>CONCATENATE("          ", "6115", " - ", "P.E.R.S.")</f>
        <v xml:space="preserve">          6115 - P.E.R.S.</v>
      </c>
      <c r="C23" s="11"/>
      <c r="D23" s="7"/>
      <c r="E23" s="2"/>
      <c r="F23" s="6">
        <f t="shared" si="8"/>
        <v>0</v>
      </c>
      <c r="G23" s="2"/>
      <c r="H23" s="7"/>
      <c r="I23" s="2"/>
      <c r="J23" s="6">
        <f t="shared" si="9"/>
        <v>0</v>
      </c>
      <c r="K23" s="2"/>
      <c r="L23" s="7">
        <f t="shared" si="10"/>
        <v>0</v>
      </c>
      <c r="M23" s="2"/>
      <c r="N23" s="6">
        <f t="shared" si="11"/>
        <v>0</v>
      </c>
      <c r="O23" s="11"/>
      <c r="P23" s="7"/>
      <c r="Q23" s="2"/>
      <c r="R23" s="6">
        <f t="shared" si="12"/>
        <v>0</v>
      </c>
      <c r="S23" s="2"/>
      <c r="T23" s="7">
        <v>355.22</v>
      </c>
      <c r="U23" s="2"/>
      <c r="V23" s="6">
        <f t="shared" si="13"/>
        <v>0</v>
      </c>
      <c r="W23" s="2"/>
      <c r="X23" s="7">
        <f t="shared" si="14"/>
        <v>-355.22</v>
      </c>
      <c r="Y23" s="2"/>
      <c r="Z23" s="6">
        <f t="shared" si="15"/>
        <v>-1</v>
      </c>
    </row>
    <row r="24" spans="1:26" s="24" customFormat="1" hidden="1" outlineLevel="2" x14ac:dyDescent="0.25">
      <c r="A24" s="28"/>
      <c r="B24" s="11" t="str">
        <f>CONCATENATE("          ", "6118", " - ", "VACATION")</f>
        <v xml:space="preserve">          6118 - VACATION</v>
      </c>
      <c r="C24" s="11"/>
      <c r="D24" s="7"/>
      <c r="E24" s="2"/>
      <c r="F24" s="6">
        <f t="shared" si="8"/>
        <v>0</v>
      </c>
      <c r="G24" s="2"/>
      <c r="H24" s="7"/>
      <c r="I24" s="2"/>
      <c r="J24" s="6">
        <f t="shared" si="9"/>
        <v>0</v>
      </c>
      <c r="K24" s="2"/>
      <c r="L24" s="7">
        <f t="shared" si="10"/>
        <v>0</v>
      </c>
      <c r="M24" s="2"/>
      <c r="N24" s="6">
        <f t="shared" si="11"/>
        <v>0</v>
      </c>
      <c r="O24" s="11"/>
      <c r="P24" s="7"/>
      <c r="Q24" s="2"/>
      <c r="R24" s="6">
        <f t="shared" si="12"/>
        <v>0</v>
      </c>
      <c r="S24" s="2"/>
      <c r="T24" s="7">
        <v>88.46</v>
      </c>
      <c r="U24" s="2"/>
      <c r="V24" s="6">
        <f t="shared" si="13"/>
        <v>0</v>
      </c>
      <c r="W24" s="2"/>
      <c r="X24" s="7">
        <f t="shared" si="14"/>
        <v>-88.46</v>
      </c>
      <c r="Y24" s="2"/>
      <c r="Z24" s="6">
        <f t="shared" si="15"/>
        <v>-1</v>
      </c>
    </row>
    <row r="25" spans="1:26" s="24" customFormat="1" hidden="1" outlineLevel="2" x14ac:dyDescent="0.25">
      <c r="A25" s="28"/>
      <c r="B25" s="11" t="str">
        <f>CONCATENATE("          ", "6119", " - ", "SICK LEAVE")</f>
        <v xml:space="preserve">          6119 - SICK LEAVE</v>
      </c>
      <c r="C25" s="11"/>
      <c r="D25" s="7"/>
      <c r="E25" s="2"/>
      <c r="F25" s="6">
        <f t="shared" si="8"/>
        <v>0</v>
      </c>
      <c r="G25" s="2"/>
      <c r="H25" s="7"/>
      <c r="I25" s="2"/>
      <c r="J25" s="6">
        <f t="shared" si="9"/>
        <v>0</v>
      </c>
      <c r="K25" s="2"/>
      <c r="L25" s="7">
        <f t="shared" si="10"/>
        <v>0</v>
      </c>
      <c r="M25" s="2"/>
      <c r="N25" s="6">
        <f t="shared" si="11"/>
        <v>0</v>
      </c>
      <c r="O25" s="11"/>
      <c r="P25" s="7"/>
      <c r="Q25" s="2"/>
      <c r="R25" s="6">
        <f t="shared" si="12"/>
        <v>0</v>
      </c>
      <c r="S25" s="2"/>
      <c r="T25" s="7">
        <v>105.98</v>
      </c>
      <c r="U25" s="2"/>
      <c r="V25" s="6">
        <f t="shared" si="13"/>
        <v>0</v>
      </c>
      <c r="W25" s="2"/>
      <c r="X25" s="7">
        <f t="shared" si="14"/>
        <v>-105.98</v>
      </c>
      <c r="Y25" s="2"/>
      <c r="Z25" s="6">
        <f t="shared" si="15"/>
        <v>-1</v>
      </c>
    </row>
    <row r="26" spans="1:26" s="27" customFormat="1" outlineLevel="1" collapsed="1" x14ac:dyDescent="0.25">
      <c r="A26" s="29"/>
      <c r="B26" s="14" t="str">
        <f>CONCATENATE("     ","*Payroll                                          ")</f>
        <v xml:space="preserve">     *Payroll                                          </v>
      </c>
      <c r="C26" s="14"/>
      <c r="D26" s="1">
        <f>SUM(OSRRefD22_1x_0)</f>
        <v>0</v>
      </c>
      <c r="E26" s="1"/>
      <c r="F26" s="5">
        <f t="shared" ref="F26:F33" si="16">IF(D$12=0,0,D26/D$12)</f>
        <v>0</v>
      </c>
      <c r="G26" s="1"/>
      <c r="H26" s="1">
        <f>SUM(OSRRefH22_1x_0)</f>
        <v>0</v>
      </c>
      <c r="I26" s="1"/>
      <c r="J26" s="5">
        <f t="shared" ref="J26:J33" si="17">IF(H$12=0,0,H26/H$12)</f>
        <v>0</v>
      </c>
      <c r="K26" s="1"/>
      <c r="L26" s="1">
        <f t="shared" ref="L26:L33" si="18">+D26-H26</f>
        <v>0</v>
      </c>
      <c r="M26" s="1"/>
      <c r="N26" s="5">
        <f t="shared" ref="N26:N33" si="19">IF(H26=0,0,L26/H26)</f>
        <v>0</v>
      </c>
      <c r="O26" s="14"/>
      <c r="P26" s="1">
        <f>SUM(OSRRefP22_1x_0)</f>
        <v>0</v>
      </c>
      <c r="Q26" s="1"/>
      <c r="R26" s="5">
        <f t="shared" ref="R26:R33" si="20">IF(P$12=0,0,P26/P$12)</f>
        <v>0</v>
      </c>
      <c r="S26" s="1"/>
      <c r="T26" s="1">
        <f>SUM(OSRRefT22_1x_0)</f>
        <v>1378.61</v>
      </c>
      <c r="U26" s="1"/>
      <c r="V26" s="5">
        <f t="shared" ref="V26:V33" si="21">IF(T$12=0,0,T26/T$12)</f>
        <v>0</v>
      </c>
      <c r="W26" s="1"/>
      <c r="X26" s="1">
        <f t="shared" ref="X26:X33" si="22">+P26-T26</f>
        <v>-1378.61</v>
      </c>
      <c r="Y26" s="1"/>
      <c r="Z26" s="5">
        <f t="shared" ref="Z26:Z33" si="23">IF(T26=0,0,X26/T26)</f>
        <v>-1</v>
      </c>
    </row>
    <row r="27" spans="1:26" s="24" customFormat="1" hidden="1" outlineLevel="2" x14ac:dyDescent="0.25">
      <c r="A27" s="28"/>
      <c r="B27" s="11" t="str">
        <f>CONCATENATE("          ", "6002", " - ", "STAFF SALARIES")</f>
        <v xml:space="preserve">          6002 - STAFF SALARIES</v>
      </c>
      <c r="C27" s="11"/>
      <c r="D27" s="7"/>
      <c r="E27" s="2"/>
      <c r="F27" s="6">
        <f t="shared" si="16"/>
        <v>0</v>
      </c>
      <c r="G27" s="2"/>
      <c r="H27" s="7"/>
      <c r="I27" s="2"/>
      <c r="J27" s="6">
        <f t="shared" si="17"/>
        <v>0</v>
      </c>
      <c r="K27" s="2"/>
      <c r="L27" s="7">
        <f t="shared" si="18"/>
        <v>0</v>
      </c>
      <c r="M27" s="2"/>
      <c r="N27" s="6">
        <f t="shared" si="19"/>
        <v>0</v>
      </c>
      <c r="O27" s="11"/>
      <c r="P27" s="7"/>
      <c r="Q27" s="2"/>
      <c r="R27" s="6">
        <f t="shared" si="20"/>
        <v>0</v>
      </c>
      <c r="S27" s="2"/>
      <c r="T27" s="7">
        <v>1378.61</v>
      </c>
      <c r="U27" s="2"/>
      <c r="V27" s="6">
        <f t="shared" si="21"/>
        <v>0</v>
      </c>
      <c r="W27" s="2"/>
      <c r="X27" s="7">
        <f t="shared" si="22"/>
        <v>-1378.61</v>
      </c>
      <c r="Y27" s="2"/>
      <c r="Z27" s="6">
        <f t="shared" si="23"/>
        <v>-1</v>
      </c>
    </row>
    <row r="28" spans="1:26" s="27" customFormat="1" outlineLevel="1" collapsed="1" x14ac:dyDescent="0.25">
      <c r="A28" s="29"/>
      <c r="B28" s="14" t="str">
        <f>CONCATENATE("     ","Depreciation                                      ")</f>
        <v xml:space="preserve">     Depreciation                                      </v>
      </c>
      <c r="C28" s="14"/>
      <c r="D28" s="1">
        <f>SUM(OSRRefD22_2x_0)</f>
        <v>1000.91</v>
      </c>
      <c r="E28" s="1"/>
      <c r="F28" s="5">
        <f t="shared" si="16"/>
        <v>0</v>
      </c>
      <c r="G28" s="1"/>
      <c r="H28" s="1">
        <f>SUM(OSRRefH22_2x_0)</f>
        <v>1000.91</v>
      </c>
      <c r="I28" s="1"/>
      <c r="J28" s="5">
        <f t="shared" si="17"/>
        <v>0</v>
      </c>
      <c r="K28" s="1"/>
      <c r="L28" s="1">
        <f t="shared" si="18"/>
        <v>0</v>
      </c>
      <c r="M28" s="1"/>
      <c r="N28" s="5">
        <f t="shared" si="19"/>
        <v>0</v>
      </c>
      <c r="O28" s="14"/>
      <c r="P28" s="1">
        <f>SUM(OSRRefP22_2x_0)</f>
        <v>3002.73</v>
      </c>
      <c r="Q28" s="1"/>
      <c r="R28" s="5">
        <f t="shared" si="20"/>
        <v>0</v>
      </c>
      <c r="S28" s="1"/>
      <c r="T28" s="1">
        <f>SUM(OSRRefT22_2x_0)</f>
        <v>3002.73</v>
      </c>
      <c r="U28" s="1"/>
      <c r="V28" s="5">
        <f t="shared" si="21"/>
        <v>0</v>
      </c>
      <c r="W28" s="1"/>
      <c r="X28" s="1">
        <f t="shared" si="22"/>
        <v>0</v>
      </c>
      <c r="Y28" s="1"/>
      <c r="Z28" s="5">
        <f t="shared" si="23"/>
        <v>0</v>
      </c>
    </row>
    <row r="29" spans="1:26" s="24" customFormat="1" hidden="1" outlineLevel="2" x14ac:dyDescent="0.25">
      <c r="A29" s="28"/>
      <c r="B29" s="11" t="str">
        <f>CONCATENATE("          ", "6322", " - ", "EQUIPMENT DEPRECIATION EXPENSE")</f>
        <v xml:space="preserve">          6322 - EQUIPMENT DEPRECIATION EXPENSE</v>
      </c>
      <c r="C29" s="11"/>
      <c r="D29" s="7">
        <v>1000.91</v>
      </c>
      <c r="E29" s="2"/>
      <c r="F29" s="6">
        <f t="shared" si="16"/>
        <v>0</v>
      </c>
      <c r="G29" s="2"/>
      <c r="H29" s="7">
        <v>1000.91</v>
      </c>
      <c r="I29" s="2"/>
      <c r="J29" s="6">
        <f t="shared" si="17"/>
        <v>0</v>
      </c>
      <c r="K29" s="2"/>
      <c r="L29" s="7">
        <f t="shared" si="18"/>
        <v>0</v>
      </c>
      <c r="M29" s="2"/>
      <c r="N29" s="6">
        <f t="shared" si="19"/>
        <v>0</v>
      </c>
      <c r="O29" s="11"/>
      <c r="P29" s="7">
        <v>3002.73</v>
      </c>
      <c r="Q29" s="2"/>
      <c r="R29" s="6">
        <f t="shared" si="20"/>
        <v>0</v>
      </c>
      <c r="S29" s="2"/>
      <c r="T29" s="7">
        <v>3002.73</v>
      </c>
      <c r="U29" s="2"/>
      <c r="V29" s="6">
        <f t="shared" si="21"/>
        <v>0</v>
      </c>
      <c r="W29" s="2"/>
      <c r="X29" s="7">
        <f t="shared" si="22"/>
        <v>0</v>
      </c>
      <c r="Y29" s="2"/>
      <c r="Z29" s="6">
        <f t="shared" si="23"/>
        <v>0</v>
      </c>
    </row>
    <row r="30" spans="1:26" s="27" customFormat="1" outlineLevel="1" collapsed="1" x14ac:dyDescent="0.25">
      <c r="A30" s="29"/>
      <c r="B30" s="14" t="str">
        <f>CONCATENATE("     ","Repair and Maintenance                            ")</f>
        <v xml:space="preserve">     Repair and Maintenance                            </v>
      </c>
      <c r="C30" s="14"/>
      <c r="D30" s="1">
        <f>SUM(OSRRefD22_3x_0)</f>
        <v>0</v>
      </c>
      <c r="E30" s="1"/>
      <c r="F30" s="5">
        <f t="shared" si="16"/>
        <v>0</v>
      </c>
      <c r="G30" s="1"/>
      <c r="H30" s="1">
        <f>SUM(OSRRefH22_3x_0)</f>
        <v>0</v>
      </c>
      <c r="I30" s="1"/>
      <c r="J30" s="5">
        <f t="shared" si="17"/>
        <v>0</v>
      </c>
      <c r="K30" s="1"/>
      <c r="L30" s="1">
        <f t="shared" si="18"/>
        <v>0</v>
      </c>
      <c r="M30" s="1"/>
      <c r="N30" s="5">
        <f t="shared" si="19"/>
        <v>0</v>
      </c>
      <c r="O30" s="14"/>
      <c r="P30" s="1">
        <f>SUM(OSRRefP22_3x_0)</f>
        <v>0</v>
      </c>
      <c r="Q30" s="1"/>
      <c r="R30" s="5">
        <f t="shared" si="20"/>
        <v>0</v>
      </c>
      <c r="S30" s="1"/>
      <c r="T30" s="1">
        <f>SUM(OSRRefT22_3x_0)</f>
        <v>235.8</v>
      </c>
      <c r="U30" s="1"/>
      <c r="V30" s="5">
        <f t="shared" si="21"/>
        <v>0</v>
      </c>
      <c r="W30" s="1"/>
      <c r="X30" s="1">
        <f t="shared" si="22"/>
        <v>-235.8</v>
      </c>
      <c r="Y30" s="1"/>
      <c r="Z30" s="5">
        <f t="shared" si="23"/>
        <v>-1</v>
      </c>
    </row>
    <row r="31" spans="1:26" s="24" customFormat="1" hidden="1" outlineLevel="2" x14ac:dyDescent="0.25">
      <c r="A31" s="28"/>
      <c r="B31" s="11" t="str">
        <f>CONCATENATE("          ", "6373", " - ", "MAINTENANCE CONTRACTS")</f>
        <v xml:space="preserve">          6373 - MAINTENANCE CONTRACTS</v>
      </c>
      <c r="C31" s="11"/>
      <c r="D31" s="7"/>
      <c r="E31" s="2"/>
      <c r="F31" s="6">
        <f t="shared" si="16"/>
        <v>0</v>
      </c>
      <c r="G31" s="2"/>
      <c r="H31" s="7"/>
      <c r="I31" s="2"/>
      <c r="J31" s="6">
        <f t="shared" si="17"/>
        <v>0</v>
      </c>
      <c r="K31" s="2"/>
      <c r="L31" s="7">
        <f t="shared" si="18"/>
        <v>0</v>
      </c>
      <c r="M31" s="2"/>
      <c r="N31" s="6">
        <f t="shared" si="19"/>
        <v>0</v>
      </c>
      <c r="O31" s="11"/>
      <c r="P31" s="7"/>
      <c r="Q31" s="2"/>
      <c r="R31" s="6">
        <f t="shared" si="20"/>
        <v>0</v>
      </c>
      <c r="S31" s="2"/>
      <c r="T31" s="7">
        <v>235.8</v>
      </c>
      <c r="U31" s="2"/>
      <c r="V31" s="6">
        <f t="shared" si="21"/>
        <v>0</v>
      </c>
      <c r="W31" s="2"/>
      <c r="X31" s="7">
        <f t="shared" si="22"/>
        <v>-235.8</v>
      </c>
      <c r="Y31" s="2"/>
      <c r="Z31" s="6">
        <f t="shared" si="23"/>
        <v>-1</v>
      </c>
    </row>
    <row r="32" spans="1:26" s="27" customFormat="1" outlineLevel="1" collapsed="1" x14ac:dyDescent="0.25">
      <c r="A32" s="29"/>
      <c r="B32" s="14" t="str">
        <f>CONCATENATE("     ","Telephone/Data Lines                              ")</f>
        <v xml:space="preserve">     Telephone/Data Lines                              </v>
      </c>
      <c r="C32" s="14"/>
      <c r="D32" s="1">
        <f>SUM(OSRRefD22_4x_0)</f>
        <v>0</v>
      </c>
      <c r="E32" s="1"/>
      <c r="F32" s="5">
        <f t="shared" si="16"/>
        <v>0</v>
      </c>
      <c r="G32" s="1"/>
      <c r="H32" s="1">
        <f>SUM(OSRRefH22_4x_0)</f>
        <v>0</v>
      </c>
      <c r="I32" s="1"/>
      <c r="J32" s="5">
        <f t="shared" si="17"/>
        <v>0</v>
      </c>
      <c r="K32" s="1"/>
      <c r="L32" s="1">
        <f t="shared" si="18"/>
        <v>0</v>
      </c>
      <c r="M32" s="1"/>
      <c r="N32" s="5">
        <f t="shared" si="19"/>
        <v>0</v>
      </c>
      <c r="O32" s="14"/>
      <c r="P32" s="1">
        <f>SUM(OSRRefP22_4x_0)</f>
        <v>0</v>
      </c>
      <c r="Q32" s="1"/>
      <c r="R32" s="5">
        <f t="shared" si="20"/>
        <v>0</v>
      </c>
      <c r="S32" s="1"/>
      <c r="T32" s="1">
        <f>SUM(OSRRefT22_4x_0)</f>
        <v>112</v>
      </c>
      <c r="U32" s="1"/>
      <c r="V32" s="5">
        <f t="shared" si="21"/>
        <v>0</v>
      </c>
      <c r="W32" s="1"/>
      <c r="X32" s="1">
        <f t="shared" si="22"/>
        <v>-112</v>
      </c>
      <c r="Y32" s="1"/>
      <c r="Z32" s="5">
        <f t="shared" si="23"/>
        <v>-1</v>
      </c>
    </row>
    <row r="33" spans="1:26" s="24" customFormat="1" hidden="1" outlineLevel="2" x14ac:dyDescent="0.25">
      <c r="A33" s="28"/>
      <c r="B33" s="11" t="str">
        <f>CONCATENATE("          ", "6309", " - ", "TELEPHONE")</f>
        <v xml:space="preserve">          6309 - TELEPHONE</v>
      </c>
      <c r="C33" s="11"/>
      <c r="D33" s="7"/>
      <c r="E33" s="2"/>
      <c r="F33" s="6">
        <f t="shared" si="16"/>
        <v>0</v>
      </c>
      <c r="G33" s="2"/>
      <c r="H33" s="7"/>
      <c r="I33" s="2"/>
      <c r="J33" s="6">
        <f t="shared" si="17"/>
        <v>0</v>
      </c>
      <c r="K33" s="2"/>
      <c r="L33" s="7">
        <f t="shared" si="18"/>
        <v>0</v>
      </c>
      <c r="M33" s="2"/>
      <c r="N33" s="6">
        <f t="shared" si="19"/>
        <v>0</v>
      </c>
      <c r="O33" s="11"/>
      <c r="P33" s="7"/>
      <c r="Q33" s="2"/>
      <c r="R33" s="6">
        <f t="shared" si="20"/>
        <v>0</v>
      </c>
      <c r="S33" s="2"/>
      <c r="T33" s="7">
        <v>112</v>
      </c>
      <c r="U33" s="2"/>
      <c r="V33" s="6">
        <f t="shared" si="21"/>
        <v>0</v>
      </c>
      <c r="W33" s="2"/>
      <c r="X33" s="7">
        <f t="shared" si="22"/>
        <v>-112</v>
      </c>
      <c r="Y33" s="2"/>
      <c r="Z33" s="6">
        <f t="shared" si="23"/>
        <v>-1</v>
      </c>
    </row>
    <row r="34" spans="1:26" s="54" customFormat="1" x14ac:dyDescent="0.25">
      <c r="A34" s="37"/>
      <c r="B34" s="37"/>
      <c r="C34" s="37"/>
      <c r="D34" s="1"/>
      <c r="E34" s="1"/>
      <c r="F34" s="5"/>
      <c r="G34" s="1"/>
      <c r="H34" s="1"/>
      <c r="I34" s="1"/>
      <c r="J34" s="5"/>
      <c r="K34" s="1"/>
      <c r="L34" s="1"/>
      <c r="M34" s="1"/>
      <c r="N34" s="5"/>
      <c r="O34" s="37"/>
      <c r="P34" s="1"/>
      <c r="Q34" s="1"/>
      <c r="R34" s="5"/>
      <c r="S34" s="1"/>
      <c r="T34" s="1"/>
      <c r="U34" s="1"/>
      <c r="V34" s="5"/>
      <c r="W34" s="1"/>
      <c r="X34" s="1"/>
      <c r="Y34" s="1"/>
      <c r="Z34" s="5"/>
    </row>
    <row r="35" spans="1:26" s="23" customFormat="1" x14ac:dyDescent="0.25">
      <c r="A35" s="10"/>
      <c r="B35" s="26" t="s">
        <v>292</v>
      </c>
      <c r="C35" s="10"/>
      <c r="D35" s="4">
        <f>SUM(0)</f>
        <v>0</v>
      </c>
      <c r="E35" s="4"/>
      <c r="F35" s="12">
        <f>IF(D$12=0,0,D35/D$12)</f>
        <v>0</v>
      </c>
      <c r="G35" s="4"/>
      <c r="H35" s="4">
        <f>SUM(0)</f>
        <v>0</v>
      </c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>
        <f>SUM(0)</f>
        <v>0</v>
      </c>
      <c r="Q35" s="4"/>
      <c r="R35" s="12">
        <f>IF(P$12=0,0,P35/P$12)</f>
        <v>0</v>
      </c>
      <c r="S35" s="4"/>
      <c r="T35" s="4">
        <f>SUM(0)</f>
        <v>0</v>
      </c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5" t="s">
        <v>276</v>
      </c>
      <c r="C37" s="25"/>
      <c r="D37" s="21">
        <f>+D17-D19+D35</f>
        <v>-1000.91</v>
      </c>
      <c r="E37" s="13"/>
      <c r="F37" s="22">
        <f>IF(D$12=0,0,D37/D$12)</f>
        <v>0</v>
      </c>
      <c r="G37" s="13"/>
      <c r="H37" s="21">
        <f>+H17-H19+H35</f>
        <v>-1000.91</v>
      </c>
      <c r="I37" s="13"/>
      <c r="J37" s="22">
        <f>IF(H$12=0,0,H37/H$12)</f>
        <v>0</v>
      </c>
      <c r="K37" s="16"/>
      <c r="L37" s="21">
        <f>+D37-H37</f>
        <v>0</v>
      </c>
      <c r="M37" s="16"/>
      <c r="N37" s="22">
        <f>IF(H37=0,0,L37/H37)</f>
        <v>0</v>
      </c>
      <c r="O37" s="26"/>
      <c r="P37" s="21">
        <f>+P17-P19+P35</f>
        <v>-1968</v>
      </c>
      <c r="Q37" s="13"/>
      <c r="R37" s="22">
        <f>IF(P$12=0,0,P37/P$12)</f>
        <v>0</v>
      </c>
      <c r="S37" s="13"/>
      <c r="T37" s="21">
        <f>+T17-T19+T35</f>
        <v>-6148.89</v>
      </c>
      <c r="U37" s="13"/>
      <c r="V37" s="22">
        <f>IF(T$12=0,0,T37/T$12)</f>
        <v>0</v>
      </c>
      <c r="W37" s="16"/>
      <c r="X37" s="21">
        <f>+P37-T37</f>
        <v>4180.8900000000003</v>
      </c>
      <c r="Y37" s="16"/>
      <c r="Z37" s="22">
        <f>IF(T37=0,0,X37/T37)</f>
        <v>-0.67994223347628602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51"/>
      <c r="B39" s="10" t="s">
        <v>127</v>
      </c>
      <c r="C39" s="10"/>
      <c r="D39" s="4"/>
      <c r="E39" s="4"/>
      <c r="F39" s="12">
        <f>IF(D$12=0,0,D39/D$12)</f>
        <v>0</v>
      </c>
      <c r="G39" s="4"/>
      <c r="H39" s="4"/>
      <c r="I39" s="4"/>
      <c r="J39" s="12">
        <f>IF(H$12=0,0,H39/H$12)</f>
        <v>0</v>
      </c>
      <c r="K39" s="4"/>
      <c r="L39" s="4">
        <f>+D39-H39</f>
        <v>0</v>
      </c>
      <c r="M39" s="4"/>
      <c r="N39" s="12">
        <f>IF(H39=0,0,L39/H39)</f>
        <v>0</v>
      </c>
      <c r="O39" s="10"/>
      <c r="P39" s="4"/>
      <c r="Q39" s="4"/>
      <c r="R39" s="12">
        <f>IF(P$12=0,0,P39/P$12)</f>
        <v>0</v>
      </c>
      <c r="S39" s="4"/>
      <c r="T39" s="4"/>
      <c r="U39" s="4"/>
      <c r="V39" s="12">
        <f>IF(T$12=0,0,T39/T$12)</f>
        <v>0</v>
      </c>
      <c r="W39" s="4"/>
      <c r="X39" s="4">
        <f>+P39-T39</f>
        <v>0</v>
      </c>
      <c r="Y39" s="4"/>
      <c r="Z39" s="12">
        <f>IF(T39=0,0,X39/T39)</f>
        <v>0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.75" thickBot="1" x14ac:dyDescent="0.3">
      <c r="A41" s="10"/>
      <c r="B41" s="25" t="s">
        <v>125</v>
      </c>
      <c r="C41" s="25"/>
      <c r="D41" s="33">
        <f>+D37-D39</f>
        <v>-1000.91</v>
      </c>
      <c r="E41" s="13"/>
      <c r="F41" s="35">
        <f>IF(D$12=0,0,D41/D$12)</f>
        <v>0</v>
      </c>
      <c r="G41" s="13"/>
      <c r="H41" s="33">
        <f>+H37-H39</f>
        <v>-1000.91</v>
      </c>
      <c r="I41" s="13"/>
      <c r="J41" s="35">
        <f>IF(H$12=0,0,H41/H$12)</f>
        <v>0</v>
      </c>
      <c r="K41" s="16"/>
      <c r="L41" s="33">
        <f>D41-H41</f>
        <v>0</v>
      </c>
      <c r="M41" s="16"/>
      <c r="N41" s="35">
        <f>IF(H41=0,0,L41/H41)</f>
        <v>0</v>
      </c>
      <c r="O41" s="26"/>
      <c r="P41" s="33">
        <f>+P37-P39</f>
        <v>-1968</v>
      </c>
      <c r="Q41" s="13"/>
      <c r="R41" s="35">
        <f>IF(P$12=0,0,P41/P$12)</f>
        <v>0</v>
      </c>
      <c r="S41" s="13"/>
      <c r="T41" s="33">
        <f>+T37-T39</f>
        <v>-6148.89</v>
      </c>
      <c r="U41" s="13"/>
      <c r="V41" s="35">
        <f>IF(T$12=0,0,T41/T$12)</f>
        <v>0</v>
      </c>
      <c r="W41" s="16"/>
      <c r="X41" s="33">
        <f>P41-T41</f>
        <v>4180.8900000000003</v>
      </c>
      <c r="Y41" s="16"/>
      <c r="Z41" s="35">
        <f>IF(T41=0,0,X41/T41)</f>
        <v>-0.67994223347628602</v>
      </c>
    </row>
    <row r="42" spans="1:26" ht="15.75" thickTop="1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x14ac:dyDescent="0.25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ht="15.75" thickBot="1" x14ac:dyDescent="0.3">
      <c r="A44" s="10"/>
      <c r="B44" s="25" t="s">
        <v>293</v>
      </c>
      <c r="C44" s="25"/>
      <c r="D44" s="31">
        <f>SUM(D41:D43)</f>
        <v>-1000.91</v>
      </c>
      <c r="E44" s="13"/>
      <c r="F44" s="32">
        <f>IF(D$12=0,0,D44/D$12)</f>
        <v>0</v>
      </c>
      <c r="G44" s="13"/>
      <c r="H44" s="31">
        <f>SUM(H41:H43)</f>
        <v>-1000.91</v>
      </c>
      <c r="I44" s="13"/>
      <c r="J44" s="32">
        <f>IF(H$12=0,0,H44/H$12)</f>
        <v>0</v>
      </c>
      <c r="K44" s="16"/>
      <c r="L44" s="31">
        <f>+D44-H44</f>
        <v>0</v>
      </c>
      <c r="M44" s="16"/>
      <c r="N44" s="32">
        <f>IF(H44=0,0,L44/H44)</f>
        <v>0</v>
      </c>
      <c r="O44" s="26"/>
      <c r="P44" s="31">
        <f>SUM(P41:P43)</f>
        <v>-1968</v>
      </c>
      <c r="Q44" s="13"/>
      <c r="R44" s="32">
        <f>IF(P$12=0,0,P44/P$12)</f>
        <v>0</v>
      </c>
      <c r="S44" s="13"/>
      <c r="T44" s="31">
        <f>SUM(T41:T43)</f>
        <v>-6148.89</v>
      </c>
      <c r="U44" s="13"/>
      <c r="V44" s="32">
        <f>IF(T$12=0,0,T44/T$12)</f>
        <v>0</v>
      </c>
      <c r="W44" s="16"/>
      <c r="X44" s="31">
        <f>+P44-T44</f>
        <v>4180.8900000000003</v>
      </c>
      <c r="Y44" s="16"/>
      <c r="Z44" s="32">
        <f>IF(T44=0,0,X44/T44)</f>
        <v>-0.67994223347628602</v>
      </c>
    </row>
    <row r="45" spans="1:26" ht="15.75" thickTop="1" x14ac:dyDescent="0.25">
      <c r="A45" s="9"/>
      <c r="C45" s="9"/>
      <c r="D45" s="18"/>
      <c r="E45" s="18"/>
      <c r="G45" s="18"/>
      <c r="H45" s="18"/>
      <c r="I45" s="18"/>
      <c r="J45" s="42"/>
      <c r="K45" s="18"/>
      <c r="L45" s="18"/>
      <c r="M45" s="18"/>
      <c r="P45" s="18"/>
      <c r="Q45" s="18"/>
      <c r="R45" s="42"/>
      <c r="S45" s="18"/>
      <c r="T45" s="18"/>
      <c r="U45" s="18"/>
      <c r="V45" s="42"/>
      <c r="W45" s="18"/>
      <c r="X45" s="18"/>
    </row>
    <row r="46" spans="1:26" x14ac:dyDescent="0.25">
      <c r="A46" s="9"/>
      <c r="B46" s="58">
        <v>44481.985668518515</v>
      </c>
      <c r="D46" s="18"/>
      <c r="E46" s="18"/>
      <c r="G46" s="18"/>
      <c r="H46" s="18"/>
      <c r="I46" s="18"/>
      <c r="J46" s="42"/>
      <c r="K46" s="18"/>
      <c r="L46" s="18"/>
      <c r="M46" s="18"/>
      <c r="P46" s="18"/>
      <c r="Q46" s="18"/>
      <c r="R46" s="42"/>
      <c r="S46" s="18"/>
      <c r="T46" s="18"/>
      <c r="U46" s="18"/>
      <c r="V46" s="42"/>
      <c r="W46" s="18"/>
      <c r="X46" s="18"/>
    </row>
    <row r="47" spans="1:26" x14ac:dyDescent="0.25">
      <c r="A47" s="9"/>
      <c r="B47" s="53" t="s">
        <v>56</v>
      </c>
      <c r="D47" s="18"/>
      <c r="E47" s="18"/>
      <c r="G47" s="18"/>
      <c r="H47" s="18"/>
      <c r="I47" s="18"/>
      <c r="J47" s="42"/>
      <c r="K47" s="18"/>
      <c r="L47" s="18"/>
      <c r="M47" s="18"/>
      <c r="P47" s="18"/>
      <c r="Q47" s="18"/>
      <c r="R47" s="42"/>
      <c r="S47" s="18"/>
      <c r="T47" s="18"/>
      <c r="U47" s="18"/>
      <c r="V47" s="42"/>
      <c r="W47" s="18"/>
      <c r="X47" s="18"/>
    </row>
    <row r="48" spans="1:26" x14ac:dyDescent="0.25">
      <c r="A48" s="9"/>
      <c r="B48" s="52"/>
      <c r="D48" s="18"/>
      <c r="E48" s="18"/>
      <c r="G48" s="18"/>
      <c r="H48" s="18"/>
      <c r="I48" s="18"/>
      <c r="J48" s="42"/>
      <c r="K48" s="18"/>
      <c r="L48" s="18"/>
      <c r="M48" s="18"/>
      <c r="P48" s="18"/>
      <c r="Q48" s="18"/>
      <c r="R48" s="42"/>
      <c r="S48" s="18"/>
      <c r="T48" s="18"/>
      <c r="U48" s="18"/>
      <c r="V48" s="42"/>
      <c r="W48" s="18"/>
      <c r="X48" s="18"/>
    </row>
    <row r="49" spans="4:24" x14ac:dyDescent="0.25">
      <c r="D49" s="18"/>
      <c r="E49" s="18"/>
      <c r="G49" s="18"/>
      <c r="H49" s="18"/>
      <c r="I49" s="18"/>
      <c r="J49" s="42"/>
      <c r="K49" s="18"/>
      <c r="L49" s="18"/>
      <c r="M49" s="18"/>
      <c r="P49" s="18"/>
      <c r="Q49" s="18"/>
      <c r="R49" s="42"/>
      <c r="S49" s="18"/>
      <c r="T49" s="18"/>
      <c r="U49" s="18"/>
      <c r="V49" s="42"/>
      <c r="W49" s="18"/>
      <c r="X49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","455", " - ", "Vending (old)")</f>
        <v>Department 455 - Vending (old)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4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25">
      <c r="A20" s="10"/>
      <c r="B20" s="26" t="s">
        <v>292</v>
      </c>
      <c r="C20" s="10"/>
      <c r="D20" s="4">
        <f>SUM(OSRRefD25x_0)</f>
        <v>-11743.630000000001</v>
      </c>
      <c r="E20" s="4"/>
      <c r="F20" s="12">
        <f t="shared" ref="F20:F22" si="0">IF(D$12=0,0,D20/D$12)</f>
        <v>0</v>
      </c>
      <c r="G20" s="4"/>
      <c r="H20" s="4">
        <f>SUM(OSRRefH25x_0)</f>
        <v>624.67999999999995</v>
      </c>
      <c r="I20" s="4"/>
      <c r="J20" s="12">
        <f t="shared" ref="J20:J22" si="1">IF(H$12=0,0,H20/H$12)</f>
        <v>0</v>
      </c>
      <c r="K20" s="4"/>
      <c r="L20" s="4">
        <f t="shared" ref="L20:L22" si="2">+D20-H20</f>
        <v>-12368.310000000001</v>
      </c>
      <c r="M20" s="4"/>
      <c r="N20" s="12">
        <f t="shared" ref="N20:N22" si="3">IF(H20=0,0,L20/H20)</f>
        <v>-19.799433309854649</v>
      </c>
      <c r="O20" s="10"/>
      <c r="P20" s="4">
        <f>SUM(OSRRefP25x_0)</f>
        <v>0</v>
      </c>
      <c r="Q20" s="4"/>
      <c r="R20" s="12">
        <f t="shared" ref="R20:R22" si="4">IF(P$12=0,0,P20/P$12)</f>
        <v>0</v>
      </c>
      <c r="S20" s="4"/>
      <c r="T20" s="4">
        <f>SUM(OSRRefT25x_0)</f>
        <v>2188.81</v>
      </c>
      <c r="U20" s="4"/>
      <c r="V20" s="12">
        <f t="shared" ref="V20:V22" si="5">IF(T$12=0,0,T20/T$12)</f>
        <v>0</v>
      </c>
      <c r="W20" s="4"/>
      <c r="X20" s="4">
        <f t="shared" ref="X20:X22" si="6">+P20-T20</f>
        <v>-2188.81</v>
      </c>
      <c r="Y20" s="4"/>
      <c r="Z20" s="12">
        <f t="shared" ref="Z20:Z22" si="7">IF(T20=0,0,X20/T20)</f>
        <v>-1</v>
      </c>
    </row>
    <row r="21" spans="1:26" s="24" customFormat="1" hidden="1" outlineLevel="1" x14ac:dyDescent="0.25">
      <c r="A21" s="44"/>
      <c r="B21" s="11" t="str">
        <f>CONCATENATE("          ", "9160", " - ", "MISC. INCOME")</f>
        <v xml:space="preserve">          9160 - MISC. INCOME</v>
      </c>
      <c r="C21" s="11"/>
      <c r="D21" s="2">
        <f>-11238.12</f>
        <v>-11238.12</v>
      </c>
      <c r="E21" s="2"/>
      <c r="F21" s="19">
        <f t="shared" si="0"/>
        <v>0</v>
      </c>
      <c r="G21" s="2"/>
      <c r="H21" s="2">
        <f>0</f>
        <v>0</v>
      </c>
      <c r="I21" s="2"/>
      <c r="J21" s="19">
        <f t="shared" si="1"/>
        <v>0</v>
      </c>
      <c r="K21" s="2"/>
      <c r="L21" s="2">
        <f t="shared" si="2"/>
        <v>-11238.12</v>
      </c>
      <c r="M21" s="2"/>
      <c r="N21" s="19">
        <f t="shared" si="3"/>
        <v>0</v>
      </c>
      <c r="O21" s="11"/>
      <c r="P21" s="2">
        <f t="shared" ref="P21:P22" si="8">0</f>
        <v>0</v>
      </c>
      <c r="Q21" s="2"/>
      <c r="R21" s="19">
        <f t="shared" si="4"/>
        <v>0</v>
      </c>
      <c r="S21" s="2"/>
      <c r="T21" s="2">
        <f>--1363.63</f>
        <v>1363.63</v>
      </c>
      <c r="U21" s="2"/>
      <c r="V21" s="19">
        <f t="shared" si="5"/>
        <v>0</v>
      </c>
      <c r="W21" s="2"/>
      <c r="X21" s="2">
        <f t="shared" si="6"/>
        <v>-1363.63</v>
      </c>
      <c r="Y21" s="2"/>
      <c r="Z21" s="19">
        <f t="shared" si="7"/>
        <v>-1</v>
      </c>
    </row>
    <row r="22" spans="1:26" s="24" customFormat="1" hidden="1" outlineLevel="1" x14ac:dyDescent="0.25">
      <c r="A22" s="44"/>
      <c r="B22" s="11" t="str">
        <f>CONCATENATE("          ", "9165", " - ", "OTHER INCOME")</f>
        <v xml:space="preserve">          9165 - OTHER INCOME</v>
      </c>
      <c r="C22" s="11"/>
      <c r="D22" s="2">
        <f>-505.51</f>
        <v>-505.51</v>
      </c>
      <c r="E22" s="2"/>
      <c r="F22" s="19">
        <f t="shared" si="0"/>
        <v>0</v>
      </c>
      <c r="G22" s="2"/>
      <c r="H22" s="2">
        <f>--624.68</f>
        <v>624.67999999999995</v>
      </c>
      <c r="I22" s="2"/>
      <c r="J22" s="19">
        <f t="shared" si="1"/>
        <v>0</v>
      </c>
      <c r="K22" s="2"/>
      <c r="L22" s="2">
        <f t="shared" si="2"/>
        <v>-1130.19</v>
      </c>
      <c r="M22" s="2"/>
      <c r="N22" s="19">
        <f t="shared" si="3"/>
        <v>-1.8092303259268747</v>
      </c>
      <c r="O22" s="11"/>
      <c r="P22" s="2">
        <f t="shared" si="8"/>
        <v>0</v>
      </c>
      <c r="Q22" s="2"/>
      <c r="R22" s="19">
        <f t="shared" si="4"/>
        <v>0</v>
      </c>
      <c r="S22" s="2"/>
      <c r="T22" s="2">
        <f>--825.18</f>
        <v>825.18</v>
      </c>
      <c r="U22" s="2"/>
      <c r="V22" s="19">
        <f t="shared" si="5"/>
        <v>0</v>
      </c>
      <c r="W22" s="2"/>
      <c r="X22" s="2">
        <f t="shared" si="6"/>
        <v>-825.18</v>
      </c>
      <c r="Y22" s="2"/>
      <c r="Z22" s="19">
        <f t="shared" si="7"/>
        <v>-1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276</v>
      </c>
      <c r="C24" s="25"/>
      <c r="D24" s="21">
        <f>+D16-D18+D20</f>
        <v>-11743.630000000001</v>
      </c>
      <c r="E24" s="13"/>
      <c r="F24" s="22">
        <f>IF(D$12=0,0,D24/D$12)</f>
        <v>0</v>
      </c>
      <c r="G24" s="13"/>
      <c r="H24" s="21">
        <f>+H16-H18+H20</f>
        <v>624.67999999999995</v>
      </c>
      <c r="I24" s="13"/>
      <c r="J24" s="22">
        <f>IF(H$12=0,0,H24/H$12)</f>
        <v>0</v>
      </c>
      <c r="K24" s="16"/>
      <c r="L24" s="21">
        <f>+D24-H24</f>
        <v>-12368.310000000001</v>
      </c>
      <c r="M24" s="16"/>
      <c r="N24" s="22">
        <f>IF(H24=0,0,L24/H24)</f>
        <v>-19.799433309854649</v>
      </c>
      <c r="O24" s="26"/>
      <c r="P24" s="21">
        <f>+P16-P18+P20</f>
        <v>0</v>
      </c>
      <c r="Q24" s="13"/>
      <c r="R24" s="22">
        <f>IF(P$12=0,0,P24/P$12)</f>
        <v>0</v>
      </c>
      <c r="S24" s="13"/>
      <c r="T24" s="21">
        <f>+T16-T18+T20</f>
        <v>2188.81</v>
      </c>
      <c r="U24" s="13"/>
      <c r="V24" s="22">
        <f>IF(T$12=0,0,T24/T$12)</f>
        <v>0</v>
      </c>
      <c r="W24" s="16"/>
      <c r="X24" s="21">
        <f>+P24-T24</f>
        <v>-2188.81</v>
      </c>
      <c r="Y24" s="16"/>
      <c r="Z24" s="22">
        <f>IF(T24=0,0,X24/T24)</f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127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5" t="s">
        <v>125</v>
      </c>
      <c r="C28" s="25"/>
      <c r="D28" s="33">
        <f>+D24-D26</f>
        <v>-11743.630000000001</v>
      </c>
      <c r="E28" s="13"/>
      <c r="F28" s="35">
        <f>IF(D$12=0,0,D28/D$12)</f>
        <v>0</v>
      </c>
      <c r="G28" s="13"/>
      <c r="H28" s="33">
        <f>+H24-H26</f>
        <v>624.67999999999995</v>
      </c>
      <c r="I28" s="13"/>
      <c r="J28" s="35">
        <f>IF(H$12=0,0,H28/H$12)</f>
        <v>0</v>
      </c>
      <c r="K28" s="16"/>
      <c r="L28" s="33">
        <f>D28-H28</f>
        <v>-12368.310000000001</v>
      </c>
      <c r="M28" s="16"/>
      <c r="N28" s="35">
        <f>IF(H28=0,0,L28/H28)</f>
        <v>-19.799433309854649</v>
      </c>
      <c r="O28" s="26"/>
      <c r="P28" s="33">
        <f>+P24-P26</f>
        <v>0</v>
      </c>
      <c r="Q28" s="13"/>
      <c r="R28" s="35">
        <f>IF(P$12=0,0,P28/P$12)</f>
        <v>0</v>
      </c>
      <c r="S28" s="13"/>
      <c r="T28" s="33">
        <f>+T24-T26</f>
        <v>2188.81</v>
      </c>
      <c r="U28" s="13"/>
      <c r="V28" s="35">
        <f>IF(T$12=0,0,T28/T$12)</f>
        <v>0</v>
      </c>
      <c r="W28" s="16"/>
      <c r="X28" s="33">
        <f>P28-T28</f>
        <v>-2188.81</v>
      </c>
      <c r="Y28" s="16"/>
      <c r="Z28" s="35">
        <f>IF(T28=0,0,X28/T28)</f>
        <v>-1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293</v>
      </c>
      <c r="C31" s="25"/>
      <c r="D31" s="31">
        <f>SUM(D28:D30)</f>
        <v>-11743.630000000001</v>
      </c>
      <c r="E31" s="13"/>
      <c r="F31" s="32">
        <f>IF(D$12=0,0,D31/D$12)</f>
        <v>0</v>
      </c>
      <c r="G31" s="13"/>
      <c r="H31" s="31">
        <f>SUM(H28:H30)</f>
        <v>624.67999999999995</v>
      </c>
      <c r="I31" s="13"/>
      <c r="J31" s="32">
        <f>IF(H$12=0,0,H31/H$12)</f>
        <v>0</v>
      </c>
      <c r="K31" s="16"/>
      <c r="L31" s="31">
        <f>+D31-H31</f>
        <v>-12368.310000000001</v>
      </c>
      <c r="M31" s="16"/>
      <c r="N31" s="32">
        <f>IF(H31=0,0,L31/H31)</f>
        <v>-19.799433309854649</v>
      </c>
      <c r="O31" s="26"/>
      <c r="P31" s="31">
        <f>SUM(P28:P30)</f>
        <v>0</v>
      </c>
      <c r="Q31" s="13"/>
      <c r="R31" s="32">
        <f>IF(P$12=0,0,P31/P$12)</f>
        <v>0</v>
      </c>
      <c r="S31" s="13"/>
      <c r="T31" s="31">
        <f>SUM(T28:T30)</f>
        <v>2188.81</v>
      </c>
      <c r="U31" s="13"/>
      <c r="V31" s="32">
        <f>IF(T$12=0,0,T31/T$12)</f>
        <v>0</v>
      </c>
      <c r="W31" s="16"/>
      <c r="X31" s="31">
        <f>+P31-T31</f>
        <v>-2188.81</v>
      </c>
      <c r="Y31" s="16"/>
      <c r="Z31" s="32">
        <f>IF(T31=0,0,X31/T31)</f>
        <v>-1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8">
        <v>44481.985668518515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3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2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</sheetPr>
  <dimension ref="A2:Z10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182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1426594.0100000002</v>
      </c>
      <c r="E12" s="4"/>
      <c r="F12" s="12"/>
      <c r="G12" s="4"/>
      <c r="H12" s="4">
        <f>SUM(OSRRefH13x_0)</f>
        <v>222354.97999999998</v>
      </c>
      <c r="I12" s="4"/>
      <c r="J12" s="12"/>
      <c r="K12" s="4"/>
      <c r="L12" s="4">
        <f t="shared" ref="L12:L15" si="0">+D12-H12</f>
        <v>1204239.0300000003</v>
      </c>
      <c r="M12" s="4"/>
      <c r="N12" s="12">
        <f t="shared" ref="N12:N15" si="1">IF(H12=0,0,L12/H12)</f>
        <v>5.4158401579312523</v>
      </c>
      <c r="O12" s="10"/>
      <c r="P12" s="4">
        <f>SUM(OSRRefP13x_0)</f>
        <v>1932805.57</v>
      </c>
      <c r="Q12" s="4"/>
      <c r="R12" s="12"/>
      <c r="S12" s="4"/>
      <c r="T12" s="4">
        <f>SUM(OSRRefT13x_0)</f>
        <v>291510.98</v>
      </c>
      <c r="U12" s="4"/>
      <c r="V12" s="12"/>
      <c r="W12" s="4"/>
      <c r="X12" s="4">
        <f t="shared" ref="X12:X15" si="2">+P12-T12</f>
        <v>1641294.59</v>
      </c>
      <c r="Y12" s="4"/>
      <c r="Z12" s="12">
        <f t="shared" ref="Z12:Z15" si="3">IF(T12=0,0,X12/T12)</f>
        <v>5.6303010953481074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--644.1</f>
        <v>644.1</v>
      </c>
      <c r="E13" s="2"/>
      <c r="F13" s="19"/>
      <c r="G13" s="2"/>
      <c r="H13" s="2">
        <f>--62.54</f>
        <v>62.54</v>
      </c>
      <c r="I13" s="2"/>
      <c r="J13" s="19"/>
      <c r="K13" s="2"/>
      <c r="L13" s="2">
        <f t="shared" si="0"/>
        <v>581.56000000000006</v>
      </c>
      <c r="M13" s="2"/>
      <c r="N13" s="19">
        <f t="shared" si="1"/>
        <v>9.2990086344739371</v>
      </c>
      <c r="O13" s="11"/>
      <c r="P13" s="2">
        <f>--1134.93</f>
        <v>1134.93</v>
      </c>
      <c r="Q13" s="2"/>
      <c r="R13" s="19"/>
      <c r="S13" s="2"/>
      <c r="T13" s="2">
        <f>--402.44</f>
        <v>402.44</v>
      </c>
      <c r="U13" s="2"/>
      <c r="V13" s="19"/>
      <c r="W13" s="2"/>
      <c r="X13" s="2">
        <f t="shared" si="2"/>
        <v>732.49</v>
      </c>
      <c r="Y13" s="2"/>
      <c r="Z13" s="19">
        <f t="shared" si="3"/>
        <v>1.8201222542490807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--1412740.6</f>
        <v>1412740.6</v>
      </c>
      <c r="E14" s="2"/>
      <c r="F14" s="19"/>
      <c r="G14" s="2"/>
      <c r="H14" s="2">
        <f>--219014.08</f>
        <v>219014.08</v>
      </c>
      <c r="I14" s="2"/>
      <c r="J14" s="19"/>
      <c r="K14" s="2"/>
      <c r="L14" s="2">
        <f t="shared" si="0"/>
        <v>1193726.52</v>
      </c>
      <c r="M14" s="2"/>
      <c r="N14" s="19">
        <f t="shared" si="1"/>
        <v>5.4504556054113058</v>
      </c>
      <c r="O14" s="11"/>
      <c r="P14" s="2">
        <f>--1899393.31</f>
        <v>1899393.31</v>
      </c>
      <c r="Q14" s="2"/>
      <c r="R14" s="19"/>
      <c r="S14" s="2"/>
      <c r="T14" s="2">
        <f>--260864.76</f>
        <v>260864.76</v>
      </c>
      <c r="U14" s="2"/>
      <c r="V14" s="19"/>
      <c r="W14" s="2"/>
      <c r="X14" s="2">
        <f t="shared" si="2"/>
        <v>1638528.55</v>
      </c>
      <c r="Y14" s="2"/>
      <c r="Z14" s="19">
        <f t="shared" si="3"/>
        <v>6.2811418069654179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--13209.31</f>
        <v>13209.31</v>
      </c>
      <c r="E15" s="2"/>
      <c r="F15" s="19"/>
      <c r="G15" s="2"/>
      <c r="H15" s="2">
        <f>--3278.36</f>
        <v>3278.36</v>
      </c>
      <c r="I15" s="2"/>
      <c r="J15" s="19"/>
      <c r="K15" s="2"/>
      <c r="L15" s="2">
        <f t="shared" si="0"/>
        <v>9930.9499999999989</v>
      </c>
      <c r="M15" s="2"/>
      <c r="N15" s="19">
        <f t="shared" si="1"/>
        <v>3.0292432801766731</v>
      </c>
      <c r="O15" s="11"/>
      <c r="P15" s="2">
        <f>--32277.33</f>
        <v>32277.33</v>
      </c>
      <c r="Q15" s="2"/>
      <c r="R15" s="19"/>
      <c r="S15" s="2"/>
      <c r="T15" s="2">
        <f>--30243.78</f>
        <v>30243.78</v>
      </c>
      <c r="U15" s="2"/>
      <c r="V15" s="19"/>
      <c r="W15" s="2"/>
      <c r="X15" s="2">
        <f t="shared" si="2"/>
        <v>2033.5500000000029</v>
      </c>
      <c r="Y15" s="2"/>
      <c r="Z15" s="19">
        <f t="shared" si="3"/>
        <v>6.7238618982151138E-2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256</v>
      </c>
      <c r="C17" s="10"/>
      <c r="D17" s="4">
        <f>SUM(OSRRefD16x_0)</f>
        <v>356896.83</v>
      </c>
      <c r="E17" s="4"/>
      <c r="F17" s="12">
        <f t="shared" ref="F17:F19" si="4">IF(D$12=0,0,D17/D$12)</f>
        <v>0.25017407019674781</v>
      </c>
      <c r="G17" s="4"/>
      <c r="H17" s="4">
        <f>SUM(OSRRefH16x_0)</f>
        <v>43646.619999999995</v>
      </c>
      <c r="I17" s="4"/>
      <c r="J17" s="12">
        <f t="shared" ref="J17:J19" si="5">IF(H$12=0,0,H17/H$12)</f>
        <v>0.19629252288390392</v>
      </c>
      <c r="K17" s="4"/>
      <c r="L17" s="4">
        <f t="shared" ref="L17:L19" si="6">+D17-H17</f>
        <v>313250.21000000002</v>
      </c>
      <c r="M17" s="4"/>
      <c r="N17" s="12">
        <f t="shared" ref="N17:N19" si="7">IF(H17=0,0,L17/H17)</f>
        <v>7.1769637603095049</v>
      </c>
      <c r="O17" s="10"/>
      <c r="P17" s="4">
        <f>SUM(OSRRefP16x_0)</f>
        <v>549233.06999999995</v>
      </c>
      <c r="Q17" s="4"/>
      <c r="R17" s="12">
        <f t="shared" ref="R17:R19" si="8">IF(P$12=0,0,P17/P$12)</f>
        <v>0.28416364197460375</v>
      </c>
      <c r="S17" s="4"/>
      <c r="T17" s="4">
        <f>SUM(OSRRefT16x_0)</f>
        <v>101408.84</v>
      </c>
      <c r="U17" s="4"/>
      <c r="V17" s="12">
        <f t="shared" ref="V17:V19" si="9">IF(T$12=0,0,T17/T$12)</f>
        <v>0.34787314014724247</v>
      </c>
      <c r="W17" s="4"/>
      <c r="X17" s="4">
        <f t="shared" ref="X17:X19" si="10">+P17-T17</f>
        <v>447824.23</v>
      </c>
      <c r="Y17" s="4"/>
      <c r="Z17" s="12">
        <f t="shared" ref="Z17:Z19" si="11">IF(T17=0,0,X17/T17)</f>
        <v>4.4160275376387306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370814.83</v>
      </c>
      <c r="E18" s="2"/>
      <c r="F18" s="19">
        <f t="shared" si="4"/>
        <v>0.25993017452807049</v>
      </c>
      <c r="G18" s="2"/>
      <c r="H18" s="2">
        <v>40326.199999999997</v>
      </c>
      <c r="I18" s="2"/>
      <c r="J18" s="19">
        <f t="shared" si="5"/>
        <v>0.18135955398885154</v>
      </c>
      <c r="K18" s="2"/>
      <c r="L18" s="2">
        <f t="shared" si="6"/>
        <v>330488.63</v>
      </c>
      <c r="M18" s="2"/>
      <c r="N18" s="19">
        <f t="shared" si="7"/>
        <v>8.1953824064751952</v>
      </c>
      <c r="O18" s="11"/>
      <c r="P18" s="2">
        <v>608413.06999999995</v>
      </c>
      <c r="Q18" s="2"/>
      <c r="R18" s="19">
        <f t="shared" si="8"/>
        <v>0.31478234512745112</v>
      </c>
      <c r="S18" s="2"/>
      <c r="T18" s="2">
        <v>124935.42</v>
      </c>
      <c r="U18" s="2"/>
      <c r="V18" s="19">
        <f t="shared" si="9"/>
        <v>0.42857877943396849</v>
      </c>
      <c r="W18" s="2"/>
      <c r="X18" s="2">
        <f t="shared" si="10"/>
        <v>483477.64999999997</v>
      </c>
      <c r="Y18" s="2"/>
      <c r="Z18" s="19">
        <f t="shared" si="11"/>
        <v>3.86982050406522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-13918</v>
      </c>
      <c r="E19" s="2"/>
      <c r="F19" s="19">
        <f t="shared" si="4"/>
        <v>-9.7561043313226844E-3</v>
      </c>
      <c r="G19" s="2"/>
      <c r="H19" s="2">
        <v>3320.42</v>
      </c>
      <c r="I19" s="2"/>
      <c r="J19" s="19">
        <f t="shared" si="5"/>
        <v>1.4932968895052409E-2</v>
      </c>
      <c r="K19" s="2"/>
      <c r="L19" s="2">
        <f t="shared" si="6"/>
        <v>-17238.419999999998</v>
      </c>
      <c r="M19" s="2"/>
      <c r="N19" s="19">
        <f t="shared" si="7"/>
        <v>-5.1916384071894512</v>
      </c>
      <c r="O19" s="11"/>
      <c r="P19" s="2">
        <v>-59180</v>
      </c>
      <c r="Q19" s="2"/>
      <c r="R19" s="19">
        <f t="shared" si="8"/>
        <v>-3.0618703152847392E-2</v>
      </c>
      <c r="S19" s="2"/>
      <c r="T19" s="2">
        <v>-23526.58</v>
      </c>
      <c r="U19" s="2"/>
      <c r="V19" s="19">
        <f t="shared" si="9"/>
        <v>-8.0705639286726027E-2</v>
      </c>
      <c r="W19" s="2"/>
      <c r="X19" s="2">
        <f t="shared" si="10"/>
        <v>-35653.42</v>
      </c>
      <c r="Y19" s="2"/>
      <c r="Z19" s="19">
        <f t="shared" si="11"/>
        <v>1.5154527347366253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107</v>
      </c>
      <c r="C21" s="25"/>
      <c r="D21" s="21">
        <f>D12-D17</f>
        <v>1069697.1800000002</v>
      </c>
      <c r="E21" s="13"/>
      <c r="F21" s="22">
        <f>IF(D$12=0,0,D21/D$12)</f>
        <v>0.74982592980325213</v>
      </c>
      <c r="G21" s="13"/>
      <c r="H21" s="21">
        <f>H12-H17</f>
        <v>178708.36</v>
      </c>
      <c r="I21" s="13"/>
      <c r="J21" s="22">
        <f>IF(H$12=0,0,H21/H$12)</f>
        <v>0.80370747711609603</v>
      </c>
      <c r="K21" s="16"/>
      <c r="L21" s="21">
        <f>+D21-H21</f>
        <v>890988.82000000018</v>
      </c>
      <c r="M21" s="16"/>
      <c r="N21" s="22">
        <f>IF(H21=0,0,L21/H21)</f>
        <v>4.9857142665289986</v>
      </c>
      <c r="O21" s="26"/>
      <c r="P21" s="21">
        <f>P12-P17</f>
        <v>1383572.5</v>
      </c>
      <c r="Q21" s="13"/>
      <c r="R21" s="22">
        <f>IF(P$12=0,0,P21/P$12)</f>
        <v>0.71583635802539614</v>
      </c>
      <c r="S21" s="13"/>
      <c r="T21" s="21">
        <f>T12-T17</f>
        <v>190102.13999999998</v>
      </c>
      <c r="U21" s="13"/>
      <c r="V21" s="22">
        <f>IF(T$12=0,0,T21/T$12)</f>
        <v>0.65212685985275753</v>
      </c>
      <c r="W21" s="16"/>
      <c r="X21" s="21">
        <f>+P21-T21</f>
        <v>1193470.3600000001</v>
      </c>
      <c r="Y21" s="16"/>
      <c r="Z21" s="22">
        <f>IF(T21=0,0,X21/T21)</f>
        <v>6.2780480009325528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294</v>
      </c>
      <c r="C23" s="10"/>
      <c r="D23" s="20">
        <f>SUM(OSRRefD22x_0)</f>
        <v>499575.26999999996</v>
      </c>
      <c r="E23" s="20"/>
      <c r="F23" s="30">
        <f t="shared" ref="F23:F33" si="12">IF(D$12=0,0,D23/D$12)</f>
        <v>0.35018741596987352</v>
      </c>
      <c r="G23" s="20"/>
      <c r="H23" s="20">
        <f>SUM(OSRRefH22x_0)</f>
        <v>241864.58</v>
      </c>
      <c r="I23" s="20"/>
      <c r="J23" s="30">
        <f t="shared" ref="J23:J33" si="13">IF(H$12=0,0,H23/H$12)</f>
        <v>1.08774078277896</v>
      </c>
      <c r="K23" s="4"/>
      <c r="L23" s="20">
        <f t="shared" ref="L23:L33" si="14">+D23-H23</f>
        <v>257710.68999999997</v>
      </c>
      <c r="M23" s="4"/>
      <c r="N23" s="30">
        <f t="shared" ref="N23:N33" si="15">IF(H23=0,0,L23/H23)</f>
        <v>1.0655164555306114</v>
      </c>
      <c r="O23" s="10"/>
      <c r="P23" s="20">
        <f>SUM(OSRRefP22x_0)</f>
        <v>1007890.79</v>
      </c>
      <c r="Q23" s="20"/>
      <c r="R23" s="30">
        <f t="shared" ref="R23:R33" si="16">IF(P$12=0,0,P23/P$12)</f>
        <v>0.5214651725160333</v>
      </c>
      <c r="S23" s="20"/>
      <c r="T23" s="20">
        <f>SUM(OSRRefT22x_0)</f>
        <v>625926.92999999982</v>
      </c>
      <c r="U23" s="20"/>
      <c r="V23" s="30">
        <f t="shared" ref="V23:V33" si="17">IF(T$12=0,0,T23/T$12)</f>
        <v>2.1471813171497001</v>
      </c>
      <c r="W23" s="4"/>
      <c r="X23" s="20">
        <f t="shared" ref="X23:X33" si="18">+P23-T23</f>
        <v>381963.86000000022</v>
      </c>
      <c r="Y23" s="4"/>
      <c r="Z23" s="30">
        <f t="shared" ref="Z23:Z33" si="19">IF(T23=0,0,X23/T23)</f>
        <v>0.61023714061959333</v>
      </c>
    </row>
    <row r="24" spans="1:26" s="27" customFormat="1" outlineLevel="1" collapsed="1" x14ac:dyDescent="0.25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87088.51999999999</v>
      </c>
      <c r="E24" s="1"/>
      <c r="F24" s="5">
        <f t="shared" si="12"/>
        <v>6.1046464088265709E-2</v>
      </c>
      <c r="G24" s="1"/>
      <c r="H24" s="1">
        <f>SUM(OSRRefH22_0x_0)</f>
        <v>76244.08</v>
      </c>
      <c r="I24" s="1"/>
      <c r="J24" s="5">
        <f t="shared" si="13"/>
        <v>0.34289351198700391</v>
      </c>
      <c r="K24" s="1"/>
      <c r="L24" s="1">
        <f t="shared" si="14"/>
        <v>10844.439999999988</v>
      </c>
      <c r="M24" s="1"/>
      <c r="N24" s="5">
        <f t="shared" si="15"/>
        <v>0.14223320682733645</v>
      </c>
      <c r="O24" s="14"/>
      <c r="P24" s="1">
        <f>SUM(OSRRefP22_0x_0)</f>
        <v>230858.14999999997</v>
      </c>
      <c r="Q24" s="1"/>
      <c r="R24" s="5">
        <f t="shared" si="16"/>
        <v>0.11944199332993435</v>
      </c>
      <c r="S24" s="1"/>
      <c r="T24" s="1">
        <f>SUM(OSRRefT22_0x_0)</f>
        <v>220126.59</v>
      </c>
      <c r="U24" s="1"/>
      <c r="V24" s="5">
        <f t="shared" si="17"/>
        <v>0.75512280875320725</v>
      </c>
      <c r="W24" s="1"/>
      <c r="X24" s="1">
        <f t="shared" si="18"/>
        <v>10731.559999999969</v>
      </c>
      <c r="Y24" s="1"/>
      <c r="Z24" s="5">
        <f t="shared" si="19"/>
        <v>4.8751765972479599E-2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7">
        <v>13826.34</v>
      </c>
      <c r="E25" s="2"/>
      <c r="F25" s="6">
        <f t="shared" si="12"/>
        <v>9.6918533956272517E-3</v>
      </c>
      <c r="G25" s="2"/>
      <c r="H25" s="7">
        <v>8222.0400000000009</v>
      </c>
      <c r="I25" s="2"/>
      <c r="J25" s="6">
        <f t="shared" si="13"/>
        <v>3.6977089516951687E-2</v>
      </c>
      <c r="K25" s="2"/>
      <c r="L25" s="7">
        <f t="shared" si="14"/>
        <v>5604.2999999999993</v>
      </c>
      <c r="M25" s="2"/>
      <c r="N25" s="6">
        <f t="shared" si="15"/>
        <v>0.68161916020841529</v>
      </c>
      <c r="O25" s="11"/>
      <c r="P25" s="7">
        <v>30054.22</v>
      </c>
      <c r="Q25" s="2"/>
      <c r="R25" s="6">
        <f t="shared" si="16"/>
        <v>1.554953093393662E-2</v>
      </c>
      <c r="S25" s="2"/>
      <c r="T25" s="7">
        <v>21585.69</v>
      </c>
      <c r="U25" s="2"/>
      <c r="V25" s="6">
        <f t="shared" si="17"/>
        <v>7.4047605342344225E-2</v>
      </c>
      <c r="W25" s="2"/>
      <c r="X25" s="7">
        <f t="shared" si="18"/>
        <v>8468.5300000000025</v>
      </c>
      <c r="Y25" s="2"/>
      <c r="Z25" s="6">
        <f t="shared" si="19"/>
        <v>0.39232148705925096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7">
        <v>7712.05</v>
      </c>
      <c r="E26" s="2"/>
      <c r="F26" s="6">
        <f t="shared" si="12"/>
        <v>5.4059178336238762E-3</v>
      </c>
      <c r="G26" s="2"/>
      <c r="H26" s="7">
        <v>5274.71</v>
      </c>
      <c r="I26" s="2"/>
      <c r="J26" s="6">
        <f t="shared" si="13"/>
        <v>2.3722023226104495E-2</v>
      </c>
      <c r="K26" s="2"/>
      <c r="L26" s="7">
        <f t="shared" si="14"/>
        <v>2437.34</v>
      </c>
      <c r="M26" s="2"/>
      <c r="N26" s="6">
        <f t="shared" si="15"/>
        <v>0.46208037977443311</v>
      </c>
      <c r="O26" s="11"/>
      <c r="P26" s="7">
        <v>15257.88</v>
      </c>
      <c r="Q26" s="2"/>
      <c r="R26" s="6">
        <f t="shared" si="16"/>
        <v>7.8941618530207359E-3</v>
      </c>
      <c r="S26" s="2"/>
      <c r="T26" s="7">
        <v>12709.34</v>
      </c>
      <c r="U26" s="2"/>
      <c r="V26" s="6">
        <f t="shared" si="17"/>
        <v>4.3598151946111947E-2</v>
      </c>
      <c r="W26" s="2"/>
      <c r="X26" s="7">
        <f t="shared" si="18"/>
        <v>2548.5399999999991</v>
      </c>
      <c r="Y26" s="2"/>
      <c r="Z26" s="6">
        <f t="shared" si="19"/>
        <v>0.20052496825169513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7">
        <v>44538.95</v>
      </c>
      <c r="E27" s="2"/>
      <c r="F27" s="6">
        <f t="shared" si="12"/>
        <v>3.1220480170108096E-2</v>
      </c>
      <c r="G27" s="2"/>
      <c r="H27" s="7">
        <v>44390.99</v>
      </c>
      <c r="I27" s="2"/>
      <c r="J27" s="6">
        <f t="shared" si="13"/>
        <v>0.19964018795531363</v>
      </c>
      <c r="K27" s="2"/>
      <c r="L27" s="7">
        <f t="shared" si="14"/>
        <v>147.95999999999913</v>
      </c>
      <c r="M27" s="2"/>
      <c r="N27" s="6">
        <f t="shared" si="15"/>
        <v>3.3331088132974537E-3</v>
      </c>
      <c r="O27" s="11"/>
      <c r="P27" s="7">
        <v>127460.05</v>
      </c>
      <c r="Q27" s="2"/>
      <c r="R27" s="6">
        <f t="shared" si="16"/>
        <v>6.5945613970886885E-2</v>
      </c>
      <c r="S27" s="2"/>
      <c r="T27" s="7">
        <v>130473.07</v>
      </c>
      <c r="U27" s="2"/>
      <c r="V27" s="6">
        <f t="shared" si="17"/>
        <v>0.44757514794125425</v>
      </c>
      <c r="W27" s="2"/>
      <c r="X27" s="7">
        <f t="shared" si="18"/>
        <v>-3013.0200000000041</v>
      </c>
      <c r="Y27" s="2"/>
      <c r="Z27" s="6">
        <f t="shared" si="19"/>
        <v>-2.3093041345620242E-2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7">
        <v>556.99</v>
      </c>
      <c r="E28" s="2"/>
      <c r="F28" s="6">
        <f t="shared" si="12"/>
        <v>3.9043343522800851E-4</v>
      </c>
      <c r="G28" s="2"/>
      <c r="H28" s="7">
        <v>319.66000000000003</v>
      </c>
      <c r="I28" s="2"/>
      <c r="J28" s="6">
        <f t="shared" si="13"/>
        <v>1.4376111567188648E-3</v>
      </c>
      <c r="K28" s="2"/>
      <c r="L28" s="7">
        <f t="shared" si="14"/>
        <v>237.32999999999998</v>
      </c>
      <c r="M28" s="2"/>
      <c r="N28" s="6">
        <f t="shared" si="15"/>
        <v>0.74244509791653623</v>
      </c>
      <c r="O28" s="11"/>
      <c r="P28" s="7">
        <v>1101.97</v>
      </c>
      <c r="Q28" s="2"/>
      <c r="R28" s="6">
        <f t="shared" si="16"/>
        <v>5.701401201984326E-4</v>
      </c>
      <c r="S28" s="2"/>
      <c r="T28" s="7">
        <v>851.06</v>
      </c>
      <c r="U28" s="2"/>
      <c r="V28" s="6">
        <f t="shared" si="17"/>
        <v>2.9194783675043734E-3</v>
      </c>
      <c r="W28" s="2"/>
      <c r="X28" s="7">
        <f t="shared" si="18"/>
        <v>250.91000000000008</v>
      </c>
      <c r="Y28" s="2"/>
      <c r="Z28" s="6">
        <f t="shared" si="19"/>
        <v>0.2948205766925952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7">
        <v>4130.42</v>
      </c>
      <c r="E29" s="2"/>
      <c r="F29" s="6">
        <f t="shared" si="12"/>
        <v>2.8953016562855184E-3</v>
      </c>
      <c r="G29" s="2"/>
      <c r="H29" s="7">
        <v>3585.18</v>
      </c>
      <c r="I29" s="2"/>
      <c r="J29" s="6">
        <f t="shared" si="13"/>
        <v>1.6123677553792591E-2</v>
      </c>
      <c r="K29" s="2"/>
      <c r="L29" s="7">
        <f t="shared" si="14"/>
        <v>545.24000000000024</v>
      </c>
      <c r="M29" s="2"/>
      <c r="N29" s="6">
        <f t="shared" si="15"/>
        <v>0.15208162491144106</v>
      </c>
      <c r="O29" s="11"/>
      <c r="P29" s="7">
        <v>11403.99</v>
      </c>
      <c r="Q29" s="2"/>
      <c r="R29" s="6">
        <f t="shared" si="16"/>
        <v>5.9002261670841518E-3</v>
      </c>
      <c r="S29" s="2"/>
      <c r="T29" s="7">
        <v>12548.12</v>
      </c>
      <c r="U29" s="2"/>
      <c r="V29" s="6">
        <f t="shared" si="17"/>
        <v>4.3045102452058587E-2</v>
      </c>
      <c r="W29" s="2"/>
      <c r="X29" s="7">
        <f t="shared" si="18"/>
        <v>-1144.130000000001</v>
      </c>
      <c r="Y29" s="2"/>
      <c r="Z29" s="6">
        <f t="shared" si="19"/>
        <v>-9.1179395797936338E-2</v>
      </c>
    </row>
    <row r="30" spans="1:26" s="24" customFormat="1" hidden="1" outlineLevel="2" x14ac:dyDescent="0.25">
      <c r="A30" s="28"/>
      <c r="B30" s="11" t="str">
        <f>CONCATENATE("          ", "6117", " - ", "RETIREMENT STAFF HOURLY")</f>
        <v xml:space="preserve">          6117 - RETIREMENT STAFF HOURLY</v>
      </c>
      <c r="C30" s="11"/>
      <c r="D30" s="7">
        <v>1146.68</v>
      </c>
      <c r="E30" s="2"/>
      <c r="F30" s="6">
        <f t="shared" si="12"/>
        <v>8.0378859855159484E-4</v>
      </c>
      <c r="G30" s="2"/>
      <c r="H30" s="7">
        <v>1526.6</v>
      </c>
      <c r="I30" s="2"/>
      <c r="J30" s="6">
        <f t="shared" si="13"/>
        <v>6.8655984228462074E-3</v>
      </c>
      <c r="K30" s="2"/>
      <c r="L30" s="7">
        <f t="shared" si="14"/>
        <v>-379.91999999999985</v>
      </c>
      <c r="M30" s="2"/>
      <c r="N30" s="6">
        <f t="shared" si="15"/>
        <v>-0.24886676274073094</v>
      </c>
      <c r="O30" s="11"/>
      <c r="P30" s="7">
        <v>4617.3</v>
      </c>
      <c r="Q30" s="2"/>
      <c r="R30" s="6">
        <f t="shared" si="16"/>
        <v>2.3889107480169359E-3</v>
      </c>
      <c r="S30" s="2"/>
      <c r="T30" s="7">
        <v>4869.62</v>
      </c>
      <c r="U30" s="2"/>
      <c r="V30" s="6">
        <f t="shared" si="17"/>
        <v>1.6704756712766018E-2</v>
      </c>
      <c r="W30" s="2"/>
      <c r="X30" s="7">
        <f t="shared" si="18"/>
        <v>-252.31999999999971</v>
      </c>
      <c r="Y30" s="2"/>
      <c r="Z30" s="6">
        <f t="shared" si="19"/>
        <v>-5.1815131365486364E-2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7">
        <v>7138.07</v>
      </c>
      <c r="E31" s="2"/>
      <c r="F31" s="6">
        <f t="shared" si="12"/>
        <v>5.0035749133700612E-3</v>
      </c>
      <c r="G31" s="2"/>
      <c r="H31" s="7">
        <v>6416.14</v>
      </c>
      <c r="I31" s="2"/>
      <c r="J31" s="6">
        <f t="shared" si="13"/>
        <v>2.8855391500563651E-2</v>
      </c>
      <c r="K31" s="2"/>
      <c r="L31" s="7">
        <f t="shared" si="14"/>
        <v>721.92999999999938</v>
      </c>
      <c r="M31" s="2"/>
      <c r="N31" s="6">
        <f t="shared" si="15"/>
        <v>0.11251780665633844</v>
      </c>
      <c r="O31" s="11"/>
      <c r="P31" s="7">
        <v>19892.939999999999</v>
      </c>
      <c r="Q31" s="2"/>
      <c r="R31" s="6">
        <f t="shared" si="16"/>
        <v>1.0292261316279215E-2</v>
      </c>
      <c r="S31" s="2"/>
      <c r="T31" s="7">
        <v>17737.41</v>
      </c>
      <c r="U31" s="2"/>
      <c r="V31" s="6">
        <f t="shared" si="17"/>
        <v>6.0846455937954722E-2</v>
      </c>
      <c r="W31" s="2"/>
      <c r="X31" s="7">
        <f t="shared" si="18"/>
        <v>2155.5299999999988</v>
      </c>
      <c r="Y31" s="2"/>
      <c r="Z31" s="6">
        <f t="shared" si="19"/>
        <v>0.12152450667825793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7">
        <v>5110.76</v>
      </c>
      <c r="E32" s="2"/>
      <c r="F32" s="6">
        <f t="shared" si="12"/>
        <v>3.5824908587692721E-3</v>
      </c>
      <c r="G32" s="2"/>
      <c r="H32" s="7">
        <v>4078.56</v>
      </c>
      <c r="I32" s="2"/>
      <c r="J32" s="6">
        <f t="shared" si="13"/>
        <v>1.8342561970053472E-2</v>
      </c>
      <c r="K32" s="2"/>
      <c r="L32" s="7">
        <f t="shared" si="14"/>
        <v>1032.2000000000003</v>
      </c>
      <c r="M32" s="2"/>
      <c r="N32" s="6">
        <f t="shared" si="15"/>
        <v>0.25307951826134722</v>
      </c>
      <c r="O32" s="11"/>
      <c r="P32" s="7">
        <v>13563.27</v>
      </c>
      <c r="Q32" s="2"/>
      <c r="R32" s="6">
        <f t="shared" si="16"/>
        <v>7.0174000998972702E-3</v>
      </c>
      <c r="S32" s="2"/>
      <c r="T32" s="7">
        <v>12235.68</v>
      </c>
      <c r="U32" s="2"/>
      <c r="V32" s="6">
        <f t="shared" si="17"/>
        <v>4.1973307489138148E-2</v>
      </c>
      <c r="W32" s="2"/>
      <c r="X32" s="7">
        <f t="shared" si="18"/>
        <v>1327.5900000000001</v>
      </c>
      <c r="Y32" s="2"/>
      <c r="Z32" s="6">
        <f t="shared" si="19"/>
        <v>0.10850152995174768</v>
      </c>
    </row>
    <row r="33" spans="1:26" s="24" customFormat="1" hidden="1" outlineLevel="2" x14ac:dyDescent="0.25">
      <c r="A33" s="28"/>
      <c r="B33" s="11" t="str">
        <f>CONCATENATE("          ", "6156", " - ", "EMPLOYEE MEALS")</f>
        <v xml:space="preserve">          6156 - EMPLOYEE MEALS</v>
      </c>
      <c r="C33" s="11"/>
      <c r="D33" s="7">
        <v>2928.26</v>
      </c>
      <c r="E33" s="2"/>
      <c r="F33" s="6">
        <f t="shared" si="12"/>
        <v>2.0526232267020382E-3</v>
      </c>
      <c r="G33" s="2"/>
      <c r="H33" s="7">
        <v>2430.1999999999998</v>
      </c>
      <c r="I33" s="2"/>
      <c r="J33" s="6">
        <f t="shared" si="13"/>
        <v>1.0929370684659278E-2</v>
      </c>
      <c r="K33" s="2"/>
      <c r="L33" s="7">
        <f t="shared" si="14"/>
        <v>498.0600000000004</v>
      </c>
      <c r="M33" s="2"/>
      <c r="N33" s="6">
        <f t="shared" si="15"/>
        <v>0.20494609497160746</v>
      </c>
      <c r="O33" s="11"/>
      <c r="P33" s="7">
        <v>7506.53</v>
      </c>
      <c r="Q33" s="2"/>
      <c r="R33" s="6">
        <f t="shared" si="16"/>
        <v>3.8837481206141183E-3</v>
      </c>
      <c r="S33" s="2"/>
      <c r="T33" s="7">
        <v>7116.6</v>
      </c>
      <c r="U33" s="2"/>
      <c r="V33" s="6">
        <f t="shared" si="17"/>
        <v>2.4412802564074947E-2</v>
      </c>
      <c r="W33" s="2"/>
      <c r="X33" s="7">
        <f t="shared" si="18"/>
        <v>389.92999999999938</v>
      </c>
      <c r="Y33" s="2"/>
      <c r="Z33" s="6">
        <f t="shared" si="19"/>
        <v>5.4791613972964531E-2</v>
      </c>
    </row>
    <row r="34" spans="1:26" s="27" customFormat="1" outlineLevel="1" collapsed="1" x14ac:dyDescent="0.25">
      <c r="A34" s="29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226549.39</v>
      </c>
      <c r="E34" s="1"/>
      <c r="F34" s="5">
        <f t="shared" ref="F34:F40" si="20">IF(D$12=0,0,D34/D$12)</f>
        <v>0.1588043889235172</v>
      </c>
      <c r="G34" s="1"/>
      <c r="H34" s="1">
        <f>SUM(OSRRefH22_1x_0)</f>
        <v>119920.17000000001</v>
      </c>
      <c r="I34" s="1"/>
      <c r="J34" s="5">
        <f t="shared" ref="J34:J40" si="21">IF(H$12=0,0,H34/H$12)</f>
        <v>0.53931857069268263</v>
      </c>
      <c r="K34" s="1"/>
      <c r="L34" s="1">
        <f t="shared" ref="L34:L40" si="22">+D34-H34</f>
        <v>106629.22</v>
      </c>
      <c r="M34" s="1"/>
      <c r="N34" s="5">
        <f t="shared" ref="N34:N40" si="23">IF(H34=0,0,L34/H34)</f>
        <v>0.88916835257988702</v>
      </c>
      <c r="O34" s="14"/>
      <c r="P34" s="1">
        <f>SUM(OSRRefP22_1x_0)</f>
        <v>467972.27999999997</v>
      </c>
      <c r="Q34" s="1"/>
      <c r="R34" s="5">
        <f t="shared" ref="R34:R40" si="24">IF(P$12=0,0,P34/P$12)</f>
        <v>0.24212072195135487</v>
      </c>
      <c r="S34" s="1"/>
      <c r="T34" s="1">
        <f>SUM(OSRRefT22_1x_0)</f>
        <v>294613.64999999997</v>
      </c>
      <c r="U34" s="1"/>
      <c r="V34" s="5">
        <f t="shared" ref="V34:V40" si="25">IF(T$12=0,0,T34/T$12)</f>
        <v>1.0106434069824746</v>
      </c>
      <c r="W34" s="1"/>
      <c r="X34" s="1">
        <f t="shared" ref="X34:X40" si="26">+P34-T34</f>
        <v>173358.63</v>
      </c>
      <c r="Y34" s="1"/>
      <c r="Z34" s="5">
        <f t="shared" ref="Z34:Z40" si="27">IF(T34=0,0,X34/T34)</f>
        <v>0.5884270128013418</v>
      </c>
    </row>
    <row r="35" spans="1:26" s="24" customFormat="1" hidden="1" outlineLevel="2" x14ac:dyDescent="0.25">
      <c r="A35" s="28"/>
      <c r="B35" s="11" t="str">
        <f>CONCATENATE("          ", "6001", " - ", "ADMINISTRATIVE SALARIES")</f>
        <v xml:space="preserve">          6001 - ADMINISTRATIVE SALARIES</v>
      </c>
      <c r="C35" s="11"/>
      <c r="D35" s="7">
        <v>7615.56</v>
      </c>
      <c r="E35" s="2"/>
      <c r="F35" s="6">
        <f t="shared" si="20"/>
        <v>5.3382812114849687E-3</v>
      </c>
      <c r="G35" s="2"/>
      <c r="H35" s="7">
        <v>8959.5400000000009</v>
      </c>
      <c r="I35" s="2"/>
      <c r="J35" s="6">
        <f t="shared" si="21"/>
        <v>4.0293858046264591E-2</v>
      </c>
      <c r="K35" s="2"/>
      <c r="L35" s="7">
        <f t="shared" si="22"/>
        <v>-1343.9800000000005</v>
      </c>
      <c r="M35" s="2"/>
      <c r="N35" s="6">
        <f t="shared" si="23"/>
        <v>-0.15000546903077616</v>
      </c>
      <c r="O35" s="11"/>
      <c r="P35" s="7">
        <v>27774.639999999999</v>
      </c>
      <c r="Q35" s="2"/>
      <c r="R35" s="6">
        <f t="shared" si="24"/>
        <v>1.43701158725448E-2</v>
      </c>
      <c r="S35" s="2"/>
      <c r="T35" s="7">
        <v>25534.799999999999</v>
      </c>
      <c r="U35" s="2"/>
      <c r="V35" s="6">
        <f t="shared" si="25"/>
        <v>8.7594642232687092E-2</v>
      </c>
      <c r="W35" s="2"/>
      <c r="X35" s="7">
        <f t="shared" si="26"/>
        <v>2239.84</v>
      </c>
      <c r="Y35" s="2"/>
      <c r="Z35" s="6">
        <f t="shared" si="27"/>
        <v>8.7717154628193683E-2</v>
      </c>
    </row>
    <row r="36" spans="1:26" s="24" customFormat="1" hidden="1" outlineLevel="2" x14ac:dyDescent="0.25">
      <c r="A36" s="28"/>
      <c r="B36" s="11" t="str">
        <f>CONCATENATE("          ", "6002", " - ", "STAFF SALARIES")</f>
        <v xml:space="preserve">          6002 - STAFF SALARIES</v>
      </c>
      <c r="C36" s="11"/>
      <c r="D36" s="7">
        <v>41093.839999999997</v>
      </c>
      <c r="E36" s="2"/>
      <c r="F36" s="6">
        <f t="shared" si="20"/>
        <v>2.8805560455143077E-2</v>
      </c>
      <c r="G36" s="2"/>
      <c r="H36" s="7">
        <v>28059.71</v>
      </c>
      <c r="I36" s="2"/>
      <c r="J36" s="6">
        <f t="shared" si="21"/>
        <v>0.12619330585714789</v>
      </c>
      <c r="K36" s="2"/>
      <c r="L36" s="7">
        <f t="shared" si="22"/>
        <v>13034.129999999997</v>
      </c>
      <c r="M36" s="2"/>
      <c r="N36" s="6">
        <f t="shared" si="23"/>
        <v>0.46451406661009675</v>
      </c>
      <c r="O36" s="11"/>
      <c r="P36" s="7">
        <v>107628.9</v>
      </c>
      <c r="Q36" s="2"/>
      <c r="R36" s="6">
        <f t="shared" si="24"/>
        <v>5.5685321726385545E-2</v>
      </c>
      <c r="S36" s="2"/>
      <c r="T36" s="7">
        <v>89923.83</v>
      </c>
      <c r="U36" s="2"/>
      <c r="V36" s="6">
        <f t="shared" si="25"/>
        <v>0.30847493291676359</v>
      </c>
      <c r="W36" s="2"/>
      <c r="X36" s="7">
        <f t="shared" si="26"/>
        <v>17705.069999999992</v>
      </c>
      <c r="Y36" s="2"/>
      <c r="Z36" s="6">
        <f t="shared" si="27"/>
        <v>0.19688963426046235</v>
      </c>
    </row>
    <row r="37" spans="1:26" s="24" customFormat="1" hidden="1" outlineLevel="2" x14ac:dyDescent="0.25">
      <c r="A37" s="28"/>
      <c r="B37" s="11" t="str">
        <f>CONCATENATE("          ", "6004", " - ", "STAFF HOURLY")</f>
        <v xml:space="preserve">          6004 - STAFF HOURLY</v>
      </c>
      <c r="C37" s="11"/>
      <c r="D37" s="7">
        <v>91722.87</v>
      </c>
      <c r="E37" s="2"/>
      <c r="F37" s="6">
        <f t="shared" si="20"/>
        <v>6.4295005696820479E-2</v>
      </c>
      <c r="G37" s="2"/>
      <c r="H37" s="7">
        <v>48764.51</v>
      </c>
      <c r="I37" s="2"/>
      <c r="J37" s="6">
        <f t="shared" si="21"/>
        <v>0.21930927744456188</v>
      </c>
      <c r="K37" s="2"/>
      <c r="L37" s="7">
        <f t="shared" si="22"/>
        <v>42958.359999999993</v>
      </c>
      <c r="M37" s="2"/>
      <c r="N37" s="6">
        <f t="shared" si="23"/>
        <v>0.88093492583028088</v>
      </c>
      <c r="O37" s="11"/>
      <c r="P37" s="7">
        <v>179012.46</v>
      </c>
      <c r="Q37" s="2"/>
      <c r="R37" s="6">
        <f t="shared" si="24"/>
        <v>9.2617934663754092E-2</v>
      </c>
      <c r="S37" s="2"/>
      <c r="T37" s="7">
        <v>123645.51</v>
      </c>
      <c r="U37" s="2"/>
      <c r="V37" s="6">
        <f t="shared" si="25"/>
        <v>0.4241538689211638</v>
      </c>
      <c r="W37" s="2"/>
      <c r="X37" s="7">
        <f t="shared" si="26"/>
        <v>55366.95</v>
      </c>
      <c r="Y37" s="2"/>
      <c r="Z37" s="6">
        <f t="shared" si="27"/>
        <v>0.44778779269865926</v>
      </c>
    </row>
    <row r="38" spans="1:26" s="24" customFormat="1" hidden="1" outlineLevel="2" x14ac:dyDescent="0.25">
      <c r="A38" s="28"/>
      <c r="B38" s="11" t="str">
        <f>CONCATENATE("          ", "6005", " - ", "TEMPORARY WAGES-HOURLY")</f>
        <v xml:space="preserve">          6005 - TEMPORARY WAGES-HOURLY</v>
      </c>
      <c r="C38" s="11"/>
      <c r="D38" s="7">
        <v>37175.72</v>
      </c>
      <c r="E38" s="2"/>
      <c r="F38" s="6">
        <f t="shared" si="20"/>
        <v>2.605907478890928E-2</v>
      </c>
      <c r="G38" s="2"/>
      <c r="H38" s="7">
        <v>13566.64</v>
      </c>
      <c r="I38" s="2"/>
      <c r="J38" s="6">
        <f t="shared" si="21"/>
        <v>6.1013429966803534E-2</v>
      </c>
      <c r="K38" s="2"/>
      <c r="L38" s="7">
        <f t="shared" si="22"/>
        <v>23609.08</v>
      </c>
      <c r="M38" s="2"/>
      <c r="N38" s="6">
        <f t="shared" si="23"/>
        <v>1.7402304476274157</v>
      </c>
      <c r="O38" s="11"/>
      <c r="P38" s="7">
        <v>52849.3</v>
      </c>
      <c r="Q38" s="2"/>
      <c r="R38" s="6">
        <f t="shared" si="24"/>
        <v>2.7343309032372046E-2</v>
      </c>
      <c r="S38" s="2"/>
      <c r="T38" s="7">
        <v>14519.74</v>
      </c>
      <c r="U38" s="2"/>
      <c r="V38" s="6">
        <f t="shared" si="25"/>
        <v>4.9808552665837835E-2</v>
      </c>
      <c r="W38" s="2"/>
      <c r="X38" s="7">
        <f t="shared" si="26"/>
        <v>38329.560000000005</v>
      </c>
      <c r="Y38" s="2"/>
      <c r="Z38" s="6">
        <f t="shared" si="27"/>
        <v>2.6398241290822018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7">
        <v>45983.199999999997</v>
      </c>
      <c r="E39" s="2"/>
      <c r="F39" s="6">
        <f t="shared" si="20"/>
        <v>3.223285649432945E-2</v>
      </c>
      <c r="G39" s="2"/>
      <c r="H39" s="7">
        <v>17483.439999999999</v>
      </c>
      <c r="I39" s="2"/>
      <c r="J39" s="6">
        <f t="shared" si="21"/>
        <v>7.8628506543905602E-2</v>
      </c>
      <c r="K39" s="2"/>
      <c r="L39" s="7">
        <f t="shared" si="22"/>
        <v>28499.759999999998</v>
      </c>
      <c r="M39" s="2"/>
      <c r="N39" s="6">
        <f t="shared" si="23"/>
        <v>1.630100254869751</v>
      </c>
      <c r="O39" s="11"/>
      <c r="P39" s="7">
        <v>96119.32</v>
      </c>
      <c r="Q39" s="2"/>
      <c r="R39" s="6">
        <f t="shared" si="24"/>
        <v>4.9730465128988634E-2</v>
      </c>
      <c r="S39" s="2"/>
      <c r="T39" s="7">
        <v>37287.11</v>
      </c>
      <c r="U39" s="2"/>
      <c r="V39" s="6">
        <f t="shared" si="25"/>
        <v>0.12790979605639555</v>
      </c>
      <c r="W39" s="2"/>
      <c r="X39" s="7">
        <f t="shared" si="26"/>
        <v>58832.210000000006</v>
      </c>
      <c r="Y39" s="2"/>
      <c r="Z39" s="6">
        <f t="shared" si="27"/>
        <v>1.5778163016656428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7">
        <v>2958.2</v>
      </c>
      <c r="E40" s="2"/>
      <c r="F40" s="6">
        <f t="shared" si="20"/>
        <v>2.0736102768299154E-3</v>
      </c>
      <c r="G40" s="2"/>
      <c r="H40" s="7">
        <v>3086.33</v>
      </c>
      <c r="I40" s="2"/>
      <c r="J40" s="6">
        <f t="shared" si="21"/>
        <v>1.3880192833999041E-2</v>
      </c>
      <c r="K40" s="2"/>
      <c r="L40" s="7">
        <f t="shared" si="22"/>
        <v>-128.13000000000011</v>
      </c>
      <c r="M40" s="2"/>
      <c r="N40" s="6">
        <f t="shared" si="23"/>
        <v>-4.1515327265716925E-2</v>
      </c>
      <c r="O40" s="11"/>
      <c r="P40" s="7">
        <v>4587.66</v>
      </c>
      <c r="Q40" s="2"/>
      <c r="R40" s="6">
        <f t="shared" si="24"/>
        <v>2.3735755273097642E-3</v>
      </c>
      <c r="S40" s="2"/>
      <c r="T40" s="7">
        <v>3702.66</v>
      </c>
      <c r="U40" s="2"/>
      <c r="V40" s="6">
        <f t="shared" si="25"/>
        <v>1.2701614189626752E-2</v>
      </c>
      <c r="W40" s="2"/>
      <c r="X40" s="7">
        <f t="shared" si="26"/>
        <v>885</v>
      </c>
      <c r="Y40" s="2"/>
      <c r="Z40" s="6">
        <f t="shared" si="27"/>
        <v>0.23901735509066455</v>
      </c>
    </row>
    <row r="41" spans="1:26" s="27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732.76</v>
      </c>
      <c r="E41" s="1"/>
      <c r="F41" s="5">
        <f t="shared" ref="F41:F64" si="28">IF(D$12=0,0,D41/D$12)</f>
        <v>5.1364298101882534E-4</v>
      </c>
      <c r="G41" s="1"/>
      <c r="H41" s="1">
        <f>SUM(OSRRefH22_2x_0)</f>
        <v>0</v>
      </c>
      <c r="I41" s="1"/>
      <c r="J41" s="5">
        <f t="shared" ref="J41:J64" si="29">IF(H$12=0,0,H41/H$12)</f>
        <v>0</v>
      </c>
      <c r="K41" s="1"/>
      <c r="L41" s="1">
        <f t="shared" ref="L41:L64" si="30">+D41-H41</f>
        <v>732.76</v>
      </c>
      <c r="M41" s="1"/>
      <c r="N41" s="5">
        <f t="shared" ref="N41:N64" si="31">IF(H41=0,0,L41/H41)</f>
        <v>0</v>
      </c>
      <c r="O41" s="14"/>
      <c r="P41" s="1">
        <f>SUM(OSRRefP22_2x_0)</f>
        <v>2824.9</v>
      </c>
      <c r="Q41" s="1"/>
      <c r="R41" s="5">
        <f t="shared" ref="R41:R64" si="32">IF(P$12=0,0,P41/P$12)</f>
        <v>1.4615541489773334E-3</v>
      </c>
      <c r="S41" s="1"/>
      <c r="T41" s="1">
        <f>SUM(OSRRefT22_2x_0)</f>
        <v>1429</v>
      </c>
      <c r="U41" s="1"/>
      <c r="V41" s="5">
        <f t="shared" ref="V41:V64" si="33">IF(T$12=0,0,T41/T$12)</f>
        <v>4.9020451991208022E-3</v>
      </c>
      <c r="W41" s="1"/>
      <c r="X41" s="1">
        <f t="shared" ref="X41:X64" si="34">+P41-T41</f>
        <v>1395.9</v>
      </c>
      <c r="Y41" s="1"/>
      <c r="Z41" s="5">
        <f t="shared" ref="Z41:Z64" si="35">IF(T41=0,0,X41/T41)</f>
        <v>0.97683694891532546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7">
        <v>732.76</v>
      </c>
      <c r="E42" s="2"/>
      <c r="F42" s="6">
        <f t="shared" si="28"/>
        <v>5.1364298101882534E-4</v>
      </c>
      <c r="G42" s="2"/>
      <c r="H42" s="7"/>
      <c r="I42" s="2"/>
      <c r="J42" s="6">
        <f t="shared" si="29"/>
        <v>0</v>
      </c>
      <c r="K42" s="2"/>
      <c r="L42" s="7">
        <f t="shared" si="30"/>
        <v>732.76</v>
      </c>
      <c r="M42" s="2"/>
      <c r="N42" s="6">
        <f t="shared" si="31"/>
        <v>0</v>
      </c>
      <c r="O42" s="11"/>
      <c r="P42" s="7">
        <v>2824.9</v>
      </c>
      <c r="Q42" s="2"/>
      <c r="R42" s="6">
        <f t="shared" si="32"/>
        <v>1.4615541489773334E-3</v>
      </c>
      <c r="S42" s="2"/>
      <c r="T42" s="7">
        <v>1429</v>
      </c>
      <c r="U42" s="2"/>
      <c r="V42" s="6">
        <f t="shared" si="33"/>
        <v>4.9020451991208022E-3</v>
      </c>
      <c r="W42" s="2"/>
      <c r="X42" s="7">
        <f t="shared" si="34"/>
        <v>1395.9</v>
      </c>
      <c r="Y42" s="2"/>
      <c r="Z42" s="6">
        <f t="shared" si="35"/>
        <v>0.97683694891532546</v>
      </c>
    </row>
    <row r="43" spans="1:26" s="27" customFormat="1" outlineLevel="1" collapsed="1" x14ac:dyDescent="0.25">
      <c r="A43" s="29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0.1</v>
      </c>
      <c r="E43" s="1"/>
      <c r="F43" s="5">
        <f t="shared" si="28"/>
        <v>7.0097027815222626E-8</v>
      </c>
      <c r="G43" s="1"/>
      <c r="H43" s="1">
        <f>SUM(OSRRefH22_3x_0)</f>
        <v>29.74</v>
      </c>
      <c r="I43" s="1"/>
      <c r="J43" s="5">
        <f t="shared" si="29"/>
        <v>1.3375009635493661E-4</v>
      </c>
      <c r="K43" s="1"/>
      <c r="L43" s="1">
        <f t="shared" si="30"/>
        <v>-29.639999999999997</v>
      </c>
      <c r="M43" s="1"/>
      <c r="N43" s="5">
        <f t="shared" si="31"/>
        <v>-0.99663752521856086</v>
      </c>
      <c r="O43" s="14"/>
      <c r="P43" s="1">
        <f>SUM(OSRRefP22_3x_0)</f>
        <v>0.1</v>
      </c>
      <c r="Q43" s="1"/>
      <c r="R43" s="5">
        <f t="shared" si="32"/>
        <v>5.1738261495179779E-8</v>
      </c>
      <c r="S43" s="1"/>
      <c r="T43" s="1">
        <f>SUM(OSRRefT22_3x_0)</f>
        <v>61.74</v>
      </c>
      <c r="U43" s="1"/>
      <c r="V43" s="5">
        <f t="shared" si="33"/>
        <v>2.1179305150015277E-4</v>
      </c>
      <c r="W43" s="1"/>
      <c r="X43" s="1">
        <f t="shared" si="34"/>
        <v>-61.64</v>
      </c>
      <c r="Y43" s="1"/>
      <c r="Z43" s="5">
        <f t="shared" si="35"/>
        <v>-0.9983803045027535</v>
      </c>
    </row>
    <row r="44" spans="1:26" s="24" customFormat="1" hidden="1" outlineLevel="2" x14ac:dyDescent="0.25">
      <c r="A44" s="28"/>
      <c r="B44" s="11" t="str">
        <f>CONCATENATE("          ", "6272", " - ", "CASH (OVER/SHORT)")</f>
        <v xml:space="preserve">          6272 - CASH (OVER/SHORT)</v>
      </c>
      <c r="C44" s="11"/>
      <c r="D44" s="7">
        <v>0.1</v>
      </c>
      <c r="E44" s="2"/>
      <c r="F44" s="6">
        <f t="shared" si="28"/>
        <v>7.0097027815222626E-8</v>
      </c>
      <c r="G44" s="2"/>
      <c r="H44" s="7">
        <v>29.74</v>
      </c>
      <c r="I44" s="2"/>
      <c r="J44" s="6">
        <f t="shared" si="29"/>
        <v>1.3375009635493661E-4</v>
      </c>
      <c r="K44" s="2"/>
      <c r="L44" s="7">
        <f t="shared" si="30"/>
        <v>-29.639999999999997</v>
      </c>
      <c r="M44" s="2"/>
      <c r="N44" s="6">
        <f t="shared" si="31"/>
        <v>-0.99663752521856086</v>
      </c>
      <c r="O44" s="11"/>
      <c r="P44" s="7">
        <v>0.1</v>
      </c>
      <c r="Q44" s="2"/>
      <c r="R44" s="6">
        <f t="shared" si="32"/>
        <v>5.1738261495179779E-8</v>
      </c>
      <c r="S44" s="2"/>
      <c r="T44" s="7">
        <v>61.74</v>
      </c>
      <c r="U44" s="2"/>
      <c r="V44" s="6">
        <f t="shared" si="33"/>
        <v>2.1179305150015277E-4</v>
      </c>
      <c r="W44" s="2"/>
      <c r="X44" s="7">
        <f t="shared" si="34"/>
        <v>-61.64</v>
      </c>
      <c r="Y44" s="2"/>
      <c r="Z44" s="6">
        <f t="shared" si="35"/>
        <v>-0.9983803045027535</v>
      </c>
    </row>
    <row r="45" spans="1:26" s="27" customFormat="1" outlineLevel="1" collapsed="1" x14ac:dyDescent="0.25">
      <c r="A45" s="29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162.44</v>
      </c>
      <c r="E45" s="1"/>
      <c r="F45" s="5">
        <f t="shared" si="28"/>
        <v>1.1386561198304763E-4</v>
      </c>
      <c r="G45" s="1"/>
      <c r="H45" s="1">
        <f>SUM(OSRRefH22_4x_0)</f>
        <v>0</v>
      </c>
      <c r="I45" s="1"/>
      <c r="J45" s="5">
        <f t="shared" si="29"/>
        <v>0</v>
      </c>
      <c r="K45" s="1"/>
      <c r="L45" s="1">
        <f t="shared" si="30"/>
        <v>162.44</v>
      </c>
      <c r="M45" s="1"/>
      <c r="N45" s="5">
        <f t="shared" si="31"/>
        <v>0</v>
      </c>
      <c r="O45" s="14"/>
      <c r="P45" s="1">
        <f>SUM(OSRRefP22_4x_0)</f>
        <v>361.16</v>
      </c>
      <c r="Q45" s="1"/>
      <c r="R45" s="5">
        <f t="shared" si="32"/>
        <v>1.8685790521599129E-4</v>
      </c>
      <c r="S45" s="1"/>
      <c r="T45" s="1">
        <f>SUM(OSRRefT22_4x_0)</f>
        <v>0</v>
      </c>
      <c r="U45" s="1"/>
      <c r="V45" s="5">
        <f t="shared" si="33"/>
        <v>0</v>
      </c>
      <c r="W45" s="1"/>
      <c r="X45" s="1">
        <f t="shared" si="34"/>
        <v>361.16</v>
      </c>
      <c r="Y45" s="1"/>
      <c r="Z45" s="5">
        <f t="shared" si="35"/>
        <v>0</v>
      </c>
    </row>
    <row r="46" spans="1:26" s="24" customFormat="1" hidden="1" outlineLevel="2" x14ac:dyDescent="0.25">
      <c r="A46" s="28"/>
      <c r="B46" s="11" t="str">
        <f>CONCATENATE("          ", "6381", " - ", "BANK/CREDIT CARD FEES")</f>
        <v xml:space="preserve">          6381 - BANK/CREDIT CARD FEES</v>
      </c>
      <c r="C46" s="11"/>
      <c r="D46" s="7">
        <v>162.44</v>
      </c>
      <c r="E46" s="2"/>
      <c r="F46" s="6">
        <f t="shared" si="28"/>
        <v>1.1386561198304763E-4</v>
      </c>
      <c r="G46" s="2"/>
      <c r="H46" s="7"/>
      <c r="I46" s="2"/>
      <c r="J46" s="6">
        <f t="shared" si="29"/>
        <v>0</v>
      </c>
      <c r="K46" s="2"/>
      <c r="L46" s="7">
        <f t="shared" si="30"/>
        <v>162.44</v>
      </c>
      <c r="M46" s="2"/>
      <c r="N46" s="6">
        <f t="shared" si="31"/>
        <v>0</v>
      </c>
      <c r="O46" s="11"/>
      <c r="P46" s="7">
        <v>361.16</v>
      </c>
      <c r="Q46" s="2"/>
      <c r="R46" s="6">
        <f t="shared" si="32"/>
        <v>1.8685790521599129E-4</v>
      </c>
      <c r="S46" s="2"/>
      <c r="T46" s="7"/>
      <c r="U46" s="2"/>
      <c r="V46" s="6">
        <f t="shared" si="33"/>
        <v>0</v>
      </c>
      <c r="W46" s="2"/>
      <c r="X46" s="7">
        <f t="shared" si="34"/>
        <v>361.16</v>
      </c>
      <c r="Y46" s="2"/>
      <c r="Z46" s="6">
        <f t="shared" si="35"/>
        <v>0</v>
      </c>
    </row>
    <row r="47" spans="1:26" s="27" customFormat="1" outlineLevel="1" collapsed="1" x14ac:dyDescent="0.25">
      <c r="A47" s="29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760.04</v>
      </c>
      <c r="E47" s="1"/>
      <c r="F47" s="5">
        <f t="shared" si="28"/>
        <v>5.3276545020681805E-4</v>
      </c>
      <c r="G47" s="1"/>
      <c r="H47" s="1">
        <f>SUM(OSRRefH22_5x_0)</f>
        <v>758.5</v>
      </c>
      <c r="I47" s="1"/>
      <c r="J47" s="5">
        <f t="shared" si="29"/>
        <v>3.4112121077746948E-3</v>
      </c>
      <c r="K47" s="1"/>
      <c r="L47" s="1">
        <f t="shared" si="30"/>
        <v>1.5399999999999636</v>
      </c>
      <c r="M47" s="1"/>
      <c r="N47" s="5">
        <f t="shared" si="31"/>
        <v>2.0303230059327141E-3</v>
      </c>
      <c r="O47" s="14"/>
      <c r="P47" s="1">
        <f>SUM(OSRRefP22_5x_0)</f>
        <v>2280.12</v>
      </c>
      <c r="Q47" s="1"/>
      <c r="R47" s="5">
        <f t="shared" si="32"/>
        <v>1.1796944480038931E-3</v>
      </c>
      <c r="S47" s="1"/>
      <c r="T47" s="1">
        <f>SUM(OSRRefT22_5x_0)</f>
        <v>1747.06</v>
      </c>
      <c r="U47" s="1"/>
      <c r="V47" s="5">
        <f t="shared" si="33"/>
        <v>5.9931190241959325E-3</v>
      </c>
      <c r="W47" s="1"/>
      <c r="X47" s="1">
        <f t="shared" si="34"/>
        <v>533.05999999999995</v>
      </c>
      <c r="Y47" s="1"/>
      <c r="Z47" s="5">
        <f t="shared" si="35"/>
        <v>0.305118313051641</v>
      </c>
    </row>
    <row r="48" spans="1:26" s="24" customFormat="1" hidden="1" outlineLevel="2" x14ac:dyDescent="0.25">
      <c r="A48" s="28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760.04</v>
      </c>
      <c r="E48" s="2"/>
      <c r="F48" s="6">
        <f t="shared" si="28"/>
        <v>5.3276545020681805E-4</v>
      </c>
      <c r="G48" s="2"/>
      <c r="H48" s="7">
        <v>758.5</v>
      </c>
      <c r="I48" s="2"/>
      <c r="J48" s="6">
        <f t="shared" si="29"/>
        <v>3.4112121077746948E-3</v>
      </c>
      <c r="K48" s="2"/>
      <c r="L48" s="7">
        <f t="shared" si="30"/>
        <v>1.5399999999999636</v>
      </c>
      <c r="M48" s="2"/>
      <c r="N48" s="6">
        <f t="shared" si="31"/>
        <v>2.0303230059327141E-3</v>
      </c>
      <c r="O48" s="11"/>
      <c r="P48" s="7">
        <v>2280.12</v>
      </c>
      <c r="Q48" s="2"/>
      <c r="R48" s="6">
        <f t="shared" si="32"/>
        <v>1.1796944480038931E-3</v>
      </c>
      <c r="S48" s="2"/>
      <c r="T48" s="7">
        <v>1747.06</v>
      </c>
      <c r="U48" s="2"/>
      <c r="V48" s="6">
        <f t="shared" si="33"/>
        <v>5.9931190241959325E-3</v>
      </c>
      <c r="W48" s="2"/>
      <c r="X48" s="7">
        <f t="shared" si="34"/>
        <v>533.05999999999995</v>
      </c>
      <c r="Y48" s="2"/>
      <c r="Z48" s="6">
        <f t="shared" si="35"/>
        <v>0.305118313051641</v>
      </c>
    </row>
    <row r="49" spans="1:26" s="27" customFormat="1" outlineLevel="1" collapsed="1" x14ac:dyDescent="0.25">
      <c r="A49" s="29"/>
      <c r="B49" s="14" t="str">
        <f>CONCATENATE("     ","Donations                                         ")</f>
        <v xml:space="preserve">     Donations                                         </v>
      </c>
      <c r="C49" s="14"/>
      <c r="D49" s="1">
        <f>SUM(OSRRefD22_6x_0)</f>
        <v>9653.6200000000008</v>
      </c>
      <c r="E49" s="1"/>
      <c r="F49" s="5">
        <f t="shared" si="28"/>
        <v>6.7669006965758952E-3</v>
      </c>
      <c r="G49" s="1"/>
      <c r="H49" s="1">
        <f>SUM(OSRRefH22_6x_0)</f>
        <v>8888.07</v>
      </c>
      <c r="I49" s="1"/>
      <c r="J49" s="5">
        <f t="shared" si="29"/>
        <v>3.9972435067566287E-2</v>
      </c>
      <c r="K49" s="1"/>
      <c r="L49" s="1">
        <f t="shared" si="30"/>
        <v>765.55000000000109</v>
      </c>
      <c r="M49" s="1"/>
      <c r="N49" s="5">
        <f t="shared" si="31"/>
        <v>8.6132309939053256E-2</v>
      </c>
      <c r="O49" s="14"/>
      <c r="P49" s="1">
        <f>SUM(OSRRefP22_6x_0)</f>
        <v>13915.18</v>
      </c>
      <c r="Q49" s="1"/>
      <c r="R49" s="5">
        <f t="shared" si="32"/>
        <v>7.1994722159249569E-3</v>
      </c>
      <c r="S49" s="1"/>
      <c r="T49" s="1">
        <f>SUM(OSRRefT22_6x_0)</f>
        <v>11110.09</v>
      </c>
      <c r="U49" s="1"/>
      <c r="V49" s="5">
        <f t="shared" si="33"/>
        <v>3.8112080718194566E-2</v>
      </c>
      <c r="W49" s="1"/>
      <c r="X49" s="1">
        <f t="shared" si="34"/>
        <v>2805.09</v>
      </c>
      <c r="Y49" s="1"/>
      <c r="Z49" s="5">
        <f t="shared" si="35"/>
        <v>0.25248130303174865</v>
      </c>
    </row>
    <row r="50" spans="1:26" s="24" customFormat="1" hidden="1" outlineLevel="2" x14ac:dyDescent="0.25">
      <c r="A50" s="28"/>
      <c r="B50" s="11" t="str">
        <f>CONCATENATE("          ", "6399", " - ", "DONATION-ON CAMPUS")</f>
        <v xml:space="preserve">          6399 - DONATION-ON CAMPUS</v>
      </c>
      <c r="C50" s="11"/>
      <c r="D50" s="7">
        <v>9653.6200000000008</v>
      </c>
      <c r="E50" s="2"/>
      <c r="F50" s="6">
        <f t="shared" si="28"/>
        <v>6.7669006965758952E-3</v>
      </c>
      <c r="G50" s="2"/>
      <c r="H50" s="7">
        <v>8888.07</v>
      </c>
      <c r="I50" s="2"/>
      <c r="J50" s="6">
        <f t="shared" si="29"/>
        <v>3.9972435067566287E-2</v>
      </c>
      <c r="K50" s="2"/>
      <c r="L50" s="7">
        <f t="shared" si="30"/>
        <v>765.55000000000109</v>
      </c>
      <c r="M50" s="2"/>
      <c r="N50" s="6">
        <f t="shared" si="31"/>
        <v>8.6132309939053256E-2</v>
      </c>
      <c r="O50" s="11"/>
      <c r="P50" s="7">
        <v>13915.18</v>
      </c>
      <c r="Q50" s="2"/>
      <c r="R50" s="6">
        <f t="shared" si="32"/>
        <v>7.1994722159249569E-3</v>
      </c>
      <c r="S50" s="2"/>
      <c r="T50" s="7">
        <v>11110.09</v>
      </c>
      <c r="U50" s="2"/>
      <c r="V50" s="6">
        <f t="shared" si="33"/>
        <v>3.8112080718194566E-2</v>
      </c>
      <c r="W50" s="2"/>
      <c r="X50" s="7">
        <f t="shared" si="34"/>
        <v>2805.09</v>
      </c>
      <c r="Y50" s="2"/>
      <c r="Z50" s="6">
        <f t="shared" si="35"/>
        <v>0.25248130303174865</v>
      </c>
    </row>
    <row r="51" spans="1:26" s="27" customFormat="1" outlineLevel="1" collapsed="1" x14ac:dyDescent="0.25">
      <c r="A51" s="29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SUM(OSRRefD22_7x_0)</f>
        <v>14.49</v>
      </c>
      <c r="E51" s="1"/>
      <c r="F51" s="5">
        <f t="shared" si="28"/>
        <v>1.0157059330425758E-5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14.49</v>
      </c>
      <c r="M51" s="1"/>
      <c r="N51" s="5">
        <f t="shared" si="31"/>
        <v>0</v>
      </c>
      <c r="O51" s="14"/>
      <c r="P51" s="1">
        <f>SUM(OSRRefP22_7x_0)</f>
        <v>14.49</v>
      </c>
      <c r="Q51" s="1"/>
      <c r="R51" s="5">
        <f t="shared" si="32"/>
        <v>7.4968740906515496E-6</v>
      </c>
      <c r="S51" s="1"/>
      <c r="T51" s="1">
        <f>SUM(OSRRefT22_7x_0)</f>
        <v>0</v>
      </c>
      <c r="U51" s="1"/>
      <c r="V51" s="5">
        <f t="shared" si="33"/>
        <v>0</v>
      </c>
      <c r="W51" s="1"/>
      <c r="X51" s="1">
        <f t="shared" si="34"/>
        <v>14.49</v>
      </c>
      <c r="Y51" s="1"/>
      <c r="Z51" s="5">
        <f t="shared" si="35"/>
        <v>0</v>
      </c>
    </row>
    <row r="52" spans="1:26" s="24" customFormat="1" hidden="1" outlineLevel="2" x14ac:dyDescent="0.25">
      <c r="A52" s="28"/>
      <c r="B52" s="11" t="str">
        <f>CONCATENATE("          ", "6277", " - ", "EMPLOYEE APPRECIATION")</f>
        <v xml:space="preserve">          6277 - EMPLOYEE APPRECIATION</v>
      </c>
      <c r="C52" s="11"/>
      <c r="D52" s="7">
        <v>14.49</v>
      </c>
      <c r="E52" s="2"/>
      <c r="F52" s="6">
        <f t="shared" si="28"/>
        <v>1.0157059330425758E-5</v>
      </c>
      <c r="G52" s="2"/>
      <c r="H52" s="7"/>
      <c r="I52" s="2"/>
      <c r="J52" s="6">
        <f t="shared" si="29"/>
        <v>0</v>
      </c>
      <c r="K52" s="2"/>
      <c r="L52" s="7">
        <f t="shared" si="30"/>
        <v>14.49</v>
      </c>
      <c r="M52" s="2"/>
      <c r="N52" s="6">
        <f t="shared" si="31"/>
        <v>0</v>
      </c>
      <c r="O52" s="11"/>
      <c r="P52" s="7">
        <v>14.49</v>
      </c>
      <c r="Q52" s="2"/>
      <c r="R52" s="6">
        <f t="shared" si="32"/>
        <v>7.4968740906515496E-6</v>
      </c>
      <c r="S52" s="2"/>
      <c r="T52" s="7"/>
      <c r="U52" s="2"/>
      <c r="V52" s="6">
        <f t="shared" si="33"/>
        <v>0</v>
      </c>
      <c r="W52" s="2"/>
      <c r="X52" s="7">
        <f t="shared" si="34"/>
        <v>14.49</v>
      </c>
      <c r="Y52" s="2"/>
      <c r="Z52" s="6">
        <f t="shared" si="35"/>
        <v>0</v>
      </c>
    </row>
    <row r="53" spans="1:26" s="27" customFormat="1" outlineLevel="1" collapsed="1" x14ac:dyDescent="0.25">
      <c r="A53" s="29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SUM(OSRRefD22_8x_0)</f>
        <v>320.2</v>
      </c>
      <c r="E53" s="1"/>
      <c r="F53" s="5">
        <f t="shared" si="28"/>
        <v>2.2445068306434283E-4</v>
      </c>
      <c r="G53" s="1"/>
      <c r="H53" s="1">
        <f>SUM(OSRRefH22_8x_0)</f>
        <v>601.91999999999996</v>
      </c>
      <c r="I53" s="1"/>
      <c r="J53" s="5">
        <f t="shared" si="29"/>
        <v>2.7070227975105393E-3</v>
      </c>
      <c r="K53" s="1"/>
      <c r="L53" s="1">
        <f t="shared" si="30"/>
        <v>-281.71999999999997</v>
      </c>
      <c r="M53" s="1"/>
      <c r="N53" s="5">
        <f t="shared" si="31"/>
        <v>-0.4680356193514088</v>
      </c>
      <c r="O53" s="14"/>
      <c r="P53" s="1">
        <f>SUM(OSRRefP22_8x_0)</f>
        <v>5210.33</v>
      </c>
      <c r="Q53" s="1"/>
      <c r="R53" s="5">
        <f t="shared" si="32"/>
        <v>2.6957341601618005E-3</v>
      </c>
      <c r="S53" s="1"/>
      <c r="T53" s="1">
        <f>SUM(OSRRefT22_8x_0)</f>
        <v>1658.68</v>
      </c>
      <c r="U53" s="1"/>
      <c r="V53" s="5">
        <f t="shared" si="33"/>
        <v>5.6899400495995043E-3</v>
      </c>
      <c r="W53" s="1"/>
      <c r="X53" s="1">
        <f t="shared" si="34"/>
        <v>3551.6499999999996</v>
      </c>
      <c r="Y53" s="1"/>
      <c r="Z53" s="5">
        <f t="shared" si="35"/>
        <v>2.1412508741891139</v>
      </c>
    </row>
    <row r="54" spans="1:26" s="24" customFormat="1" hidden="1" outlineLevel="2" x14ac:dyDescent="0.25">
      <c r="A54" s="28"/>
      <c r="B54" s="11" t="str">
        <f>CONCATENATE("          ", "6351", " - ", "EQUIPMENT RENTAL")</f>
        <v xml:space="preserve">          6351 - EQUIPMENT RENTAL</v>
      </c>
      <c r="C54" s="11"/>
      <c r="D54" s="7">
        <v>320.2</v>
      </c>
      <c r="E54" s="2"/>
      <c r="F54" s="6">
        <f t="shared" si="28"/>
        <v>2.2445068306434283E-4</v>
      </c>
      <c r="G54" s="2"/>
      <c r="H54" s="7">
        <v>601.91999999999996</v>
      </c>
      <c r="I54" s="2"/>
      <c r="J54" s="6">
        <f t="shared" si="29"/>
        <v>2.7070227975105393E-3</v>
      </c>
      <c r="K54" s="2"/>
      <c r="L54" s="7">
        <f t="shared" si="30"/>
        <v>-281.71999999999997</v>
      </c>
      <c r="M54" s="2"/>
      <c r="N54" s="6">
        <f t="shared" si="31"/>
        <v>-0.4680356193514088</v>
      </c>
      <c r="O54" s="11"/>
      <c r="P54" s="7">
        <v>5210.33</v>
      </c>
      <c r="Q54" s="2"/>
      <c r="R54" s="6">
        <f t="shared" si="32"/>
        <v>2.6957341601618005E-3</v>
      </c>
      <c r="S54" s="2"/>
      <c r="T54" s="7">
        <v>1658.68</v>
      </c>
      <c r="U54" s="2"/>
      <c r="V54" s="6">
        <f t="shared" si="33"/>
        <v>5.6899400495995043E-3</v>
      </c>
      <c r="W54" s="2"/>
      <c r="X54" s="7">
        <f t="shared" si="34"/>
        <v>3551.6499999999996</v>
      </c>
      <c r="Y54" s="2"/>
      <c r="Z54" s="6">
        <f t="shared" si="35"/>
        <v>2.1412508741891139</v>
      </c>
    </row>
    <row r="55" spans="1:26" s="27" customFormat="1" outlineLevel="1" collapsed="1" x14ac:dyDescent="0.25">
      <c r="A55" s="29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SUM(OSRRefD22_9x_0)</f>
        <v>5273</v>
      </c>
      <c r="E55" s="1"/>
      <c r="F55" s="5">
        <f t="shared" si="28"/>
        <v>3.696216276696689E-3</v>
      </c>
      <c r="G55" s="1"/>
      <c r="H55" s="1">
        <f>SUM(OSRRefH22_9x_0)</f>
        <v>1.65</v>
      </c>
      <c r="I55" s="1"/>
      <c r="J55" s="5">
        <f t="shared" si="29"/>
        <v>7.4205668791407324E-6</v>
      </c>
      <c r="K55" s="1"/>
      <c r="L55" s="1">
        <f t="shared" si="30"/>
        <v>5271.35</v>
      </c>
      <c r="M55" s="1"/>
      <c r="N55" s="5">
        <f t="shared" si="31"/>
        <v>3194.757575757576</v>
      </c>
      <c r="O55" s="14"/>
      <c r="P55" s="1">
        <f>SUM(OSRRefP22_9x_0)</f>
        <v>10875.1</v>
      </c>
      <c r="Q55" s="1"/>
      <c r="R55" s="5">
        <f t="shared" si="32"/>
        <v>5.6265876758622956E-3</v>
      </c>
      <c r="S55" s="1"/>
      <c r="T55" s="1">
        <f>SUM(OSRRefT22_9x_0)</f>
        <v>6380.95</v>
      </c>
      <c r="U55" s="1"/>
      <c r="V55" s="5">
        <f t="shared" si="33"/>
        <v>2.1889226951245542E-2</v>
      </c>
      <c r="W55" s="1"/>
      <c r="X55" s="1">
        <f t="shared" si="34"/>
        <v>4494.1500000000005</v>
      </c>
      <c r="Y55" s="1"/>
      <c r="Z55" s="5">
        <f t="shared" si="35"/>
        <v>0.70430735235348974</v>
      </c>
    </row>
    <row r="56" spans="1:26" s="24" customFormat="1" hidden="1" outlineLevel="2" x14ac:dyDescent="0.25">
      <c r="A56" s="28"/>
      <c r="B56" s="11" t="str">
        <f>CONCATENATE("          ", "6279", " - ", "GENERAL EXPENSE")</f>
        <v xml:space="preserve">          6279 - GENERAL EXPENSE</v>
      </c>
      <c r="C56" s="11"/>
      <c r="D56" s="7">
        <v>5273</v>
      </c>
      <c r="E56" s="2"/>
      <c r="F56" s="6">
        <f t="shared" si="28"/>
        <v>3.696216276696689E-3</v>
      </c>
      <c r="G56" s="2"/>
      <c r="H56" s="7">
        <v>1.65</v>
      </c>
      <c r="I56" s="2"/>
      <c r="J56" s="6">
        <f t="shared" si="29"/>
        <v>7.4205668791407324E-6</v>
      </c>
      <c r="K56" s="2"/>
      <c r="L56" s="7">
        <f t="shared" si="30"/>
        <v>5271.35</v>
      </c>
      <c r="M56" s="2"/>
      <c r="N56" s="6">
        <f t="shared" si="31"/>
        <v>3194.757575757576</v>
      </c>
      <c r="O56" s="11"/>
      <c r="P56" s="7">
        <v>10875.1</v>
      </c>
      <c r="Q56" s="2"/>
      <c r="R56" s="6">
        <f t="shared" si="32"/>
        <v>5.6265876758622956E-3</v>
      </c>
      <c r="S56" s="2"/>
      <c r="T56" s="7">
        <v>6380.95</v>
      </c>
      <c r="U56" s="2"/>
      <c r="V56" s="6">
        <f t="shared" si="33"/>
        <v>2.1889226951245542E-2</v>
      </c>
      <c r="W56" s="2"/>
      <c r="X56" s="7">
        <f t="shared" si="34"/>
        <v>4494.1500000000005</v>
      </c>
      <c r="Y56" s="2"/>
      <c r="Z56" s="6">
        <f t="shared" si="35"/>
        <v>0.70430735235348974</v>
      </c>
    </row>
    <row r="57" spans="1:26" s="27" customFormat="1" outlineLevel="1" collapsed="1" x14ac:dyDescent="0.25">
      <c r="A57" s="29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SUM(OSRRefD22_10x_0)</f>
        <v>5.21</v>
      </c>
      <c r="E57" s="1"/>
      <c r="F57" s="5">
        <f t="shared" si="28"/>
        <v>3.6520551491730988E-6</v>
      </c>
      <c r="G57" s="1"/>
      <c r="H57" s="1">
        <f>SUM(OSRRefH22_10x_0)</f>
        <v>5.9</v>
      </c>
      <c r="I57" s="1"/>
      <c r="J57" s="5">
        <f t="shared" si="29"/>
        <v>2.6534148234503228E-5</v>
      </c>
      <c r="K57" s="1"/>
      <c r="L57" s="1">
        <f t="shared" si="30"/>
        <v>-0.69000000000000039</v>
      </c>
      <c r="M57" s="1"/>
      <c r="N57" s="5">
        <f t="shared" si="31"/>
        <v>-0.11694915254237294</v>
      </c>
      <c r="O57" s="14"/>
      <c r="P57" s="1">
        <f>SUM(OSRRefP22_10x_0)</f>
        <v>15.64</v>
      </c>
      <c r="Q57" s="1"/>
      <c r="R57" s="5">
        <f t="shared" si="32"/>
        <v>8.0918640978461165E-6</v>
      </c>
      <c r="S57" s="1"/>
      <c r="T57" s="1">
        <f>SUM(OSRRefT22_10x_0)</f>
        <v>17.7</v>
      </c>
      <c r="U57" s="1"/>
      <c r="V57" s="5">
        <f t="shared" si="33"/>
        <v>6.0718124579732812E-5</v>
      </c>
      <c r="W57" s="1"/>
      <c r="X57" s="1">
        <f t="shared" si="34"/>
        <v>-2.0599999999999987</v>
      </c>
      <c r="Y57" s="1"/>
      <c r="Z57" s="5">
        <f t="shared" si="35"/>
        <v>-0.11638418079096038</v>
      </c>
    </row>
    <row r="58" spans="1:26" s="24" customFormat="1" hidden="1" outlineLevel="2" x14ac:dyDescent="0.25">
      <c r="A58" s="28"/>
      <c r="B58" s="11" t="str">
        <f>CONCATENATE("          ", "6314", " - ", "LIABILITY INSURANCE")</f>
        <v xml:space="preserve">          6314 - LIABILITY INSURANCE</v>
      </c>
      <c r="C58" s="11"/>
      <c r="D58" s="7">
        <v>5.21</v>
      </c>
      <c r="E58" s="2"/>
      <c r="F58" s="6">
        <f t="shared" si="28"/>
        <v>3.6520551491730988E-6</v>
      </c>
      <c r="G58" s="2"/>
      <c r="H58" s="7">
        <v>5.9</v>
      </c>
      <c r="I58" s="2"/>
      <c r="J58" s="6">
        <f t="shared" si="29"/>
        <v>2.6534148234503228E-5</v>
      </c>
      <c r="K58" s="2"/>
      <c r="L58" s="7">
        <f t="shared" si="30"/>
        <v>-0.69000000000000039</v>
      </c>
      <c r="M58" s="2"/>
      <c r="N58" s="6">
        <f t="shared" si="31"/>
        <v>-0.11694915254237294</v>
      </c>
      <c r="O58" s="11"/>
      <c r="P58" s="7">
        <v>15.64</v>
      </c>
      <c r="Q58" s="2"/>
      <c r="R58" s="6">
        <f t="shared" si="32"/>
        <v>8.0918640978461165E-6</v>
      </c>
      <c r="S58" s="2"/>
      <c r="T58" s="7">
        <v>17.7</v>
      </c>
      <c r="U58" s="2"/>
      <c r="V58" s="6">
        <f t="shared" si="33"/>
        <v>6.0718124579732812E-5</v>
      </c>
      <c r="W58" s="2"/>
      <c r="X58" s="7">
        <f t="shared" si="34"/>
        <v>-2.0599999999999987</v>
      </c>
      <c r="Y58" s="2"/>
      <c r="Z58" s="6">
        <f t="shared" si="35"/>
        <v>-0.11638418079096038</v>
      </c>
    </row>
    <row r="59" spans="1:26" s="27" customFormat="1" outlineLevel="1" collapsed="1" x14ac:dyDescent="0.25">
      <c r="A59" s="29"/>
      <c r="B59" s="14" t="str">
        <f>CONCATENATE("     ","R/H Commissions                                   ")</f>
        <v xml:space="preserve">     R/H Commissions                                   </v>
      </c>
      <c r="C59" s="14"/>
      <c r="D59" s="1">
        <f>SUM(OSRRefD22_11x_0)</f>
        <v>102646.99</v>
      </c>
      <c r="E59" s="1"/>
      <c r="F59" s="5">
        <f t="shared" si="28"/>
        <v>7.1952489131788783E-2</v>
      </c>
      <c r="G59" s="1"/>
      <c r="H59" s="1">
        <f>SUM(OSRRefH22_11x_0)</f>
        <v>11792.03</v>
      </c>
      <c r="I59" s="1"/>
      <c r="J59" s="5">
        <f t="shared" si="29"/>
        <v>5.3032452882323576E-2</v>
      </c>
      <c r="K59" s="1"/>
      <c r="L59" s="1">
        <f t="shared" si="30"/>
        <v>90854.96</v>
      </c>
      <c r="M59" s="1"/>
      <c r="N59" s="5">
        <f t="shared" si="31"/>
        <v>7.7047768704794679</v>
      </c>
      <c r="O59" s="14"/>
      <c r="P59" s="1">
        <f>SUM(OSRRefP22_11x_0)</f>
        <v>142802.99</v>
      </c>
      <c r="Q59" s="1"/>
      <c r="R59" s="5">
        <f t="shared" si="32"/>
        <v>7.3883784389135412E-2</v>
      </c>
      <c r="S59" s="1"/>
      <c r="T59" s="1">
        <f>SUM(OSRRefT22_11x_0)</f>
        <v>16477.52</v>
      </c>
      <c r="U59" s="1"/>
      <c r="V59" s="5">
        <f t="shared" si="33"/>
        <v>5.6524526108759271E-2</v>
      </c>
      <c r="W59" s="1"/>
      <c r="X59" s="1">
        <f t="shared" si="34"/>
        <v>126325.46999999999</v>
      </c>
      <c r="Y59" s="1"/>
      <c r="Z59" s="5">
        <f t="shared" si="35"/>
        <v>7.6665341629080093</v>
      </c>
    </row>
    <row r="60" spans="1:26" s="24" customFormat="1" hidden="1" outlineLevel="2" x14ac:dyDescent="0.25">
      <c r="A60" s="28"/>
      <c r="B60" s="11" t="str">
        <f>CONCATENATE("          ", "6387", " - ", "COMMISSION DUE HOUSING")</f>
        <v xml:space="preserve">          6387 - COMMISSION DUE HOUSING</v>
      </c>
      <c r="C60" s="11"/>
      <c r="D60" s="7">
        <v>102646.99</v>
      </c>
      <c r="E60" s="2"/>
      <c r="F60" s="6">
        <f t="shared" si="28"/>
        <v>7.1952489131788783E-2</v>
      </c>
      <c r="G60" s="2"/>
      <c r="H60" s="7">
        <v>11792.03</v>
      </c>
      <c r="I60" s="2"/>
      <c r="J60" s="6">
        <f t="shared" si="29"/>
        <v>5.3032452882323576E-2</v>
      </c>
      <c r="K60" s="2"/>
      <c r="L60" s="7">
        <f t="shared" si="30"/>
        <v>90854.96</v>
      </c>
      <c r="M60" s="2"/>
      <c r="N60" s="6">
        <f t="shared" si="31"/>
        <v>7.7047768704794679</v>
      </c>
      <c r="O60" s="11"/>
      <c r="P60" s="7">
        <v>142802.99</v>
      </c>
      <c r="Q60" s="2"/>
      <c r="R60" s="6">
        <f t="shared" si="32"/>
        <v>7.3883784389135412E-2</v>
      </c>
      <c r="S60" s="2"/>
      <c r="T60" s="7">
        <v>16477.52</v>
      </c>
      <c r="U60" s="2"/>
      <c r="V60" s="6">
        <f t="shared" si="33"/>
        <v>5.6524526108759271E-2</v>
      </c>
      <c r="W60" s="2"/>
      <c r="X60" s="7">
        <f t="shared" si="34"/>
        <v>126325.46999999999</v>
      </c>
      <c r="Y60" s="2"/>
      <c r="Z60" s="6">
        <f t="shared" si="35"/>
        <v>7.6665341629080093</v>
      </c>
    </row>
    <row r="61" spans="1:26" s="27" customFormat="1" outlineLevel="1" collapsed="1" x14ac:dyDescent="0.25">
      <c r="A61" s="29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SUM(OSRRefD22_12x_0)</f>
        <v>3767.52</v>
      </c>
      <c r="E61" s="1"/>
      <c r="F61" s="5">
        <f t="shared" si="28"/>
        <v>2.6409195423440753E-3</v>
      </c>
      <c r="G61" s="1"/>
      <c r="H61" s="1">
        <f>SUM(OSRRefH22_12x_0)</f>
        <v>438.18</v>
      </c>
      <c r="I61" s="1"/>
      <c r="J61" s="5">
        <f t="shared" si="29"/>
        <v>1.9706327243041734E-3</v>
      </c>
      <c r="K61" s="1"/>
      <c r="L61" s="1">
        <f t="shared" si="30"/>
        <v>3329.34</v>
      </c>
      <c r="M61" s="1"/>
      <c r="N61" s="5">
        <f t="shared" si="31"/>
        <v>7.5981103656031772</v>
      </c>
      <c r="O61" s="14"/>
      <c r="P61" s="1">
        <f>SUM(OSRRefP22_12x_0)</f>
        <v>11438.82</v>
      </c>
      <c r="Q61" s="1"/>
      <c r="R61" s="5">
        <f t="shared" si="32"/>
        <v>5.918246603562923E-3</v>
      </c>
      <c r="S61" s="1"/>
      <c r="T61" s="1">
        <f>SUM(OSRRefT22_12x_0)</f>
        <v>2913.48</v>
      </c>
      <c r="U61" s="1"/>
      <c r="V61" s="5">
        <f t="shared" si="33"/>
        <v>9.9944091299751393E-3</v>
      </c>
      <c r="W61" s="1"/>
      <c r="X61" s="1">
        <f t="shared" si="34"/>
        <v>8525.34</v>
      </c>
      <c r="Y61" s="1"/>
      <c r="Z61" s="5">
        <f t="shared" si="35"/>
        <v>2.9261707648585196</v>
      </c>
    </row>
    <row r="62" spans="1:26" s="24" customFormat="1" hidden="1" outlineLevel="2" x14ac:dyDescent="0.25">
      <c r="A62" s="28"/>
      <c r="B62" s="11" t="str">
        <f>CONCATENATE("          ", "6371", " - ", "COMPUTER SOFTWARE MAINTENANCE")</f>
        <v xml:space="preserve">          6371 - COMPUTER SOFTWARE MAINTENANCE</v>
      </c>
      <c r="C62" s="11"/>
      <c r="D62" s="7">
        <v>3500</v>
      </c>
      <c r="E62" s="2"/>
      <c r="F62" s="6">
        <f t="shared" si="28"/>
        <v>2.4533959735327918E-3</v>
      </c>
      <c r="G62" s="2"/>
      <c r="H62" s="7"/>
      <c r="I62" s="2"/>
      <c r="J62" s="6">
        <f t="shared" si="29"/>
        <v>0</v>
      </c>
      <c r="K62" s="2"/>
      <c r="L62" s="7">
        <f t="shared" si="30"/>
        <v>3500</v>
      </c>
      <c r="M62" s="2"/>
      <c r="N62" s="6">
        <f t="shared" si="31"/>
        <v>0</v>
      </c>
      <c r="O62" s="11"/>
      <c r="P62" s="7">
        <v>10500</v>
      </c>
      <c r="Q62" s="2"/>
      <c r="R62" s="6">
        <f t="shared" si="32"/>
        <v>5.4325174569938763E-3</v>
      </c>
      <c r="S62" s="2"/>
      <c r="T62" s="7"/>
      <c r="U62" s="2"/>
      <c r="V62" s="6">
        <f t="shared" si="33"/>
        <v>0</v>
      </c>
      <c r="W62" s="2"/>
      <c r="X62" s="7">
        <f t="shared" si="34"/>
        <v>10500</v>
      </c>
      <c r="Y62" s="2"/>
      <c r="Z62" s="6">
        <f t="shared" si="35"/>
        <v>0</v>
      </c>
    </row>
    <row r="63" spans="1:26" s="24" customFormat="1" hidden="1" outlineLevel="2" x14ac:dyDescent="0.25">
      <c r="A63" s="28"/>
      <c r="B63" s="11" t="str">
        <f>CONCATENATE("          ", "6373", " - ", "MAINTENANCE CONTRACTS")</f>
        <v xml:space="preserve">          6373 - MAINTENANCE CONTRACTS</v>
      </c>
      <c r="C63" s="11"/>
      <c r="D63" s="7">
        <v>239.52</v>
      </c>
      <c r="E63" s="2"/>
      <c r="F63" s="6">
        <f t="shared" si="28"/>
        <v>1.6789640102302125E-4</v>
      </c>
      <c r="G63" s="2"/>
      <c r="H63" s="7">
        <v>233.18</v>
      </c>
      <c r="I63" s="2"/>
      <c r="J63" s="6">
        <f t="shared" si="29"/>
        <v>1.0486835059866887E-3</v>
      </c>
      <c r="K63" s="2"/>
      <c r="L63" s="7">
        <f t="shared" si="30"/>
        <v>6.3400000000000034</v>
      </c>
      <c r="M63" s="2"/>
      <c r="N63" s="6">
        <f t="shared" si="31"/>
        <v>2.7189295822969393E-2</v>
      </c>
      <c r="O63" s="11"/>
      <c r="P63" s="7">
        <v>253.52</v>
      </c>
      <c r="Q63" s="2"/>
      <c r="R63" s="6">
        <f t="shared" si="32"/>
        <v>1.3116684054257976E-4</v>
      </c>
      <c r="S63" s="2"/>
      <c r="T63" s="7">
        <v>2708.48</v>
      </c>
      <c r="U63" s="2"/>
      <c r="V63" s="6">
        <f t="shared" si="33"/>
        <v>9.2911766136562005E-3</v>
      </c>
      <c r="W63" s="2"/>
      <c r="X63" s="7">
        <f t="shared" si="34"/>
        <v>-2454.96</v>
      </c>
      <c r="Y63" s="2"/>
      <c r="Z63" s="6">
        <f t="shared" si="35"/>
        <v>-0.90639768431001888</v>
      </c>
    </row>
    <row r="64" spans="1:26" s="24" customFormat="1" hidden="1" outlineLevel="2" x14ac:dyDescent="0.25">
      <c r="A64" s="28"/>
      <c r="B64" s="11" t="str">
        <f>CONCATENATE("          ", "6375", " - ", "OUTSIDE REPAIRS &amp; MAINTENANCE")</f>
        <v xml:space="preserve">          6375 - OUTSIDE REPAIRS &amp; MAINTENANCE</v>
      </c>
      <c r="C64" s="11"/>
      <c r="D64" s="7">
        <v>28</v>
      </c>
      <c r="E64" s="2"/>
      <c r="F64" s="6">
        <f t="shared" si="28"/>
        <v>1.9627167788262336E-5</v>
      </c>
      <c r="G64" s="2"/>
      <c r="H64" s="7">
        <v>205</v>
      </c>
      <c r="I64" s="2"/>
      <c r="J64" s="6">
        <f t="shared" si="29"/>
        <v>9.21949218317485E-4</v>
      </c>
      <c r="K64" s="2"/>
      <c r="L64" s="7">
        <f t="shared" si="30"/>
        <v>-177</v>
      </c>
      <c r="M64" s="2"/>
      <c r="N64" s="6">
        <f t="shared" si="31"/>
        <v>-0.86341463414634145</v>
      </c>
      <c r="O64" s="11"/>
      <c r="P64" s="7">
        <v>685.3</v>
      </c>
      <c r="Q64" s="2"/>
      <c r="R64" s="6">
        <f t="shared" si="32"/>
        <v>3.5456230602646697E-4</v>
      </c>
      <c r="S64" s="2"/>
      <c r="T64" s="7">
        <v>205</v>
      </c>
      <c r="U64" s="2"/>
      <c r="V64" s="6">
        <f t="shared" si="33"/>
        <v>7.0323251631893935E-4</v>
      </c>
      <c r="W64" s="2"/>
      <c r="X64" s="7">
        <f t="shared" si="34"/>
        <v>480.29999999999995</v>
      </c>
      <c r="Y64" s="2"/>
      <c r="Z64" s="6">
        <f t="shared" si="35"/>
        <v>2.3429268292682925</v>
      </c>
    </row>
    <row r="65" spans="1:26" s="27" customFormat="1" outlineLevel="1" collapsed="1" x14ac:dyDescent="0.25">
      <c r="A65" s="29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SUM(OSRRefD22_13x_0)</f>
        <v>13095.319999999998</v>
      </c>
      <c r="E65" s="1"/>
      <c r="F65" s="5">
        <f t="shared" ref="F65:F68" si="36">IF(D$12=0,0,D65/D$12)</f>
        <v>9.1794301028924104E-3</v>
      </c>
      <c r="G65" s="1"/>
      <c r="H65" s="1">
        <f>SUM(OSRRefH22_13x_0)</f>
        <v>13181.349999999999</v>
      </c>
      <c r="I65" s="1"/>
      <c r="J65" s="5">
        <f t="shared" ref="J65:J68" si="37">IF(H$12=0,0,H65/H$12)</f>
        <v>5.9280660140825267E-2</v>
      </c>
      <c r="K65" s="1"/>
      <c r="L65" s="1">
        <f t="shared" ref="L65:L68" si="38">+D65-H65</f>
        <v>-86.030000000000655</v>
      </c>
      <c r="M65" s="1"/>
      <c r="N65" s="5">
        <f t="shared" ref="N65:N68" si="39">IF(H65=0,0,L65/H65)</f>
        <v>-6.5266456015507261E-3</v>
      </c>
      <c r="O65" s="14"/>
      <c r="P65" s="1">
        <f>SUM(OSRRefP22_13x_0)</f>
        <v>39978.559999999998</v>
      </c>
      <c r="Q65" s="1"/>
      <c r="R65" s="5">
        <f t="shared" ref="R65:R68" si="40">IF(P$12=0,0,P65/P$12)</f>
        <v>2.0684211914807342E-2</v>
      </c>
      <c r="S65" s="1"/>
      <c r="T65" s="1">
        <f>SUM(OSRRefT22_13x_0)</f>
        <v>31766.25</v>
      </c>
      <c r="U65" s="1"/>
      <c r="V65" s="5">
        <f t="shared" ref="V65:V68" si="41">IF(T$12=0,0,T65/T$12)</f>
        <v>0.1089710240073976</v>
      </c>
      <c r="W65" s="1"/>
      <c r="X65" s="1">
        <f t="shared" ref="X65:X68" si="42">+P65-T65</f>
        <v>8212.3099999999977</v>
      </c>
      <c r="Y65" s="1"/>
      <c r="Z65" s="5">
        <f t="shared" ref="Z65:Z68" si="43">IF(T65=0,0,X65/T65)</f>
        <v>0.25852311808916689</v>
      </c>
    </row>
    <row r="66" spans="1:26" s="24" customFormat="1" hidden="1" outlineLevel="2" x14ac:dyDescent="0.25">
      <c r="A66" s="28"/>
      <c r="B66" s="11" t="str">
        <f>CONCATENATE("          ", "6282", " - ", "JANITORIAL/EXTERMINATOR EXPENS")</f>
        <v xml:space="preserve">          6282 - JANITORIAL/EXTERMINATOR EXPENS</v>
      </c>
      <c r="C66" s="11"/>
      <c r="D66" s="7">
        <v>2336.4699999999998</v>
      </c>
      <c r="E66" s="2"/>
      <c r="F66" s="6">
        <f t="shared" si="36"/>
        <v>1.6377960257943319E-3</v>
      </c>
      <c r="G66" s="2"/>
      <c r="H66" s="7"/>
      <c r="I66" s="2"/>
      <c r="J66" s="6">
        <f t="shared" si="37"/>
        <v>0</v>
      </c>
      <c r="K66" s="2"/>
      <c r="L66" s="7">
        <f t="shared" si="38"/>
        <v>2336.4699999999998</v>
      </c>
      <c r="M66" s="2"/>
      <c r="N66" s="6">
        <f t="shared" si="39"/>
        <v>0</v>
      </c>
      <c r="O66" s="11"/>
      <c r="P66" s="7">
        <v>4266.3100000000004</v>
      </c>
      <c r="Q66" s="2"/>
      <c r="R66" s="6">
        <f t="shared" si="40"/>
        <v>2.2073146239950043E-3</v>
      </c>
      <c r="S66" s="2"/>
      <c r="T66" s="7">
        <v>2132.11</v>
      </c>
      <c r="U66" s="2"/>
      <c r="V66" s="6">
        <f t="shared" si="41"/>
        <v>7.3139955139940194E-3</v>
      </c>
      <c r="W66" s="2"/>
      <c r="X66" s="7">
        <f t="shared" si="42"/>
        <v>2134.2000000000003</v>
      </c>
      <c r="Y66" s="2"/>
      <c r="Z66" s="6">
        <f t="shared" si="43"/>
        <v>1.0009802496118869</v>
      </c>
    </row>
    <row r="67" spans="1:26" s="24" customFormat="1" hidden="1" outlineLevel="2" x14ac:dyDescent="0.25">
      <c r="A67" s="28"/>
      <c r="B67" s="11" t="str">
        <f>CONCATENATE("          ", "6285", " - ", "JANITORIAL SERVICES")</f>
        <v xml:space="preserve">          6285 - JANITORIAL SERVICES</v>
      </c>
      <c r="C67" s="11"/>
      <c r="D67" s="7">
        <v>9589.0499999999993</v>
      </c>
      <c r="E67" s="2"/>
      <c r="F67" s="6">
        <f t="shared" si="36"/>
        <v>6.7216390457156047E-3</v>
      </c>
      <c r="G67" s="2"/>
      <c r="H67" s="7">
        <v>11777.38</v>
      </c>
      <c r="I67" s="2"/>
      <c r="J67" s="6">
        <f t="shared" si="37"/>
        <v>5.2966567243063326E-2</v>
      </c>
      <c r="K67" s="2"/>
      <c r="L67" s="7">
        <f t="shared" si="38"/>
        <v>-2188.33</v>
      </c>
      <c r="M67" s="2"/>
      <c r="N67" s="6">
        <f t="shared" si="39"/>
        <v>-0.18580787917176825</v>
      </c>
      <c r="O67" s="11"/>
      <c r="P67" s="7">
        <v>31276.33</v>
      </c>
      <c r="Q67" s="2"/>
      <c r="R67" s="6">
        <f t="shared" si="40"/>
        <v>1.6181829401495363E-2</v>
      </c>
      <c r="S67" s="2"/>
      <c r="T67" s="7">
        <v>24248.53</v>
      </c>
      <c r="U67" s="2"/>
      <c r="V67" s="6">
        <f t="shared" si="41"/>
        <v>8.3182218385050202E-2</v>
      </c>
      <c r="W67" s="2"/>
      <c r="X67" s="7">
        <f t="shared" si="42"/>
        <v>7027.8000000000029</v>
      </c>
      <c r="Y67" s="2"/>
      <c r="Z67" s="6">
        <f t="shared" si="43"/>
        <v>0.28982375426469165</v>
      </c>
    </row>
    <row r="68" spans="1:26" s="24" customFormat="1" hidden="1" outlineLevel="2" x14ac:dyDescent="0.25">
      <c r="A68" s="28"/>
      <c r="B68" s="11" t="str">
        <f>CONCATENATE("          ", "6286", " - ", "LAUNDRY EXPENSE")</f>
        <v xml:space="preserve">          6286 - LAUNDRY EXPENSE</v>
      </c>
      <c r="C68" s="11"/>
      <c r="D68" s="7">
        <v>1169.8</v>
      </c>
      <c r="E68" s="2"/>
      <c r="F68" s="6">
        <f t="shared" si="36"/>
        <v>8.1999503138247421E-4</v>
      </c>
      <c r="G68" s="2"/>
      <c r="H68" s="7">
        <v>1403.97</v>
      </c>
      <c r="I68" s="2"/>
      <c r="J68" s="6">
        <f t="shared" si="37"/>
        <v>6.3140928977619484E-3</v>
      </c>
      <c r="K68" s="2"/>
      <c r="L68" s="7">
        <f t="shared" si="38"/>
        <v>-234.17000000000007</v>
      </c>
      <c r="M68" s="2"/>
      <c r="N68" s="6">
        <f t="shared" si="39"/>
        <v>-0.16679131320469814</v>
      </c>
      <c r="O68" s="11"/>
      <c r="P68" s="7">
        <v>4435.92</v>
      </c>
      <c r="Q68" s="2"/>
      <c r="R68" s="6">
        <f t="shared" si="40"/>
        <v>2.2950678893169786E-3</v>
      </c>
      <c r="S68" s="2"/>
      <c r="T68" s="7">
        <v>5385.61</v>
      </c>
      <c r="U68" s="2"/>
      <c r="V68" s="6">
        <f t="shared" si="41"/>
        <v>1.847481010835338E-2</v>
      </c>
      <c r="W68" s="2"/>
      <c r="X68" s="7">
        <f t="shared" si="42"/>
        <v>-949.6899999999996</v>
      </c>
      <c r="Y68" s="2"/>
      <c r="Z68" s="6">
        <f t="shared" si="43"/>
        <v>-0.17633842777326983</v>
      </c>
    </row>
    <row r="69" spans="1:26" s="27" customFormat="1" outlineLevel="1" collapsed="1" x14ac:dyDescent="0.25">
      <c r="A69" s="29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SUM(OSRRefD22_14x_0)</f>
        <v>48540.799999999996</v>
      </c>
      <c r="E69" s="1"/>
      <c r="F69" s="5">
        <f t="shared" ref="F69:F77" si="44">IF(D$12=0,0,D69/D$12)</f>
        <v>3.4025658077731578E-2</v>
      </c>
      <c r="G69" s="1"/>
      <c r="H69" s="1">
        <f>SUM(OSRRefH22_14x_0)</f>
        <v>9027.9900000000016</v>
      </c>
      <c r="I69" s="1"/>
      <c r="J69" s="5">
        <f t="shared" ref="J69:J77" si="45">IF(H$12=0,0,H69/H$12)</f>
        <v>4.0601699138917431E-2</v>
      </c>
      <c r="K69" s="1"/>
      <c r="L69" s="1">
        <f t="shared" ref="L69:L77" si="46">+D69-H69</f>
        <v>39512.81</v>
      </c>
      <c r="M69" s="1"/>
      <c r="N69" s="5">
        <f t="shared" ref="N69:N77" si="47">IF(H69=0,0,L69/H69)</f>
        <v>4.3767006830977868</v>
      </c>
      <c r="O69" s="14"/>
      <c r="P69" s="1">
        <f>SUM(OSRRefP22_14x_0)</f>
        <v>76661.100000000006</v>
      </c>
      <c r="Q69" s="1"/>
      <c r="R69" s="5">
        <f t="shared" ref="R69:R77" si="48">IF(P$12=0,0,P69/P$12)</f>
        <v>3.9663120383081264E-2</v>
      </c>
      <c r="S69" s="1"/>
      <c r="T69" s="1">
        <f>SUM(OSRRefT22_14x_0)</f>
        <v>35034.22</v>
      </c>
      <c r="U69" s="1"/>
      <c r="V69" s="5">
        <f t="shared" ref="V69:V77" si="49">IF(T$12=0,0,T69/T$12)</f>
        <v>0.12018147652620152</v>
      </c>
      <c r="W69" s="1"/>
      <c r="X69" s="1">
        <f t="shared" ref="X69:X77" si="50">+P69-T69</f>
        <v>41626.880000000005</v>
      </c>
      <c r="Y69" s="1"/>
      <c r="Z69" s="5">
        <f t="shared" ref="Z69:Z77" si="51">IF(T69=0,0,X69/T69)</f>
        <v>1.1881777302306147</v>
      </c>
    </row>
    <row r="70" spans="1:26" s="24" customFormat="1" hidden="1" outlineLevel="2" x14ac:dyDescent="0.25">
      <c r="A70" s="28"/>
      <c r="B70" s="11" t="str">
        <f>CONCATENATE("          ", "6234", " - ", "EXPENDABLE SUPPLIES &amp; EQUIPMEN")</f>
        <v xml:space="preserve">          6234 - EXPENDABLE SUPPLIES &amp; EQUIPMEN</v>
      </c>
      <c r="C70" s="11"/>
      <c r="D70" s="7">
        <v>21.98</v>
      </c>
      <c r="E70" s="2"/>
      <c r="F70" s="6">
        <f t="shared" si="44"/>
        <v>1.5407326713785932E-5</v>
      </c>
      <c r="G70" s="2"/>
      <c r="H70" s="7"/>
      <c r="I70" s="2"/>
      <c r="J70" s="6">
        <f t="shared" si="45"/>
        <v>0</v>
      </c>
      <c r="K70" s="2"/>
      <c r="L70" s="7">
        <f t="shared" si="46"/>
        <v>21.98</v>
      </c>
      <c r="M70" s="2"/>
      <c r="N70" s="6">
        <f t="shared" si="47"/>
        <v>0</v>
      </c>
      <c r="O70" s="11"/>
      <c r="P70" s="7">
        <v>21.98</v>
      </c>
      <c r="Q70" s="2"/>
      <c r="R70" s="6">
        <f t="shared" si="48"/>
        <v>1.1372069876640514E-5</v>
      </c>
      <c r="S70" s="2"/>
      <c r="T70" s="7"/>
      <c r="U70" s="2"/>
      <c r="V70" s="6">
        <f t="shared" si="49"/>
        <v>0</v>
      </c>
      <c r="W70" s="2"/>
      <c r="X70" s="7">
        <f t="shared" si="50"/>
        <v>21.98</v>
      </c>
      <c r="Y70" s="2"/>
      <c r="Z70" s="6">
        <f t="shared" si="51"/>
        <v>0</v>
      </c>
    </row>
    <row r="71" spans="1:26" s="24" customFormat="1" hidden="1" outlineLevel="2" x14ac:dyDescent="0.25">
      <c r="A71" s="28"/>
      <c r="B71" s="11" t="str">
        <f>CONCATENATE("          ", "6235", " - ", "COVID-19 EXPENSES")</f>
        <v xml:space="preserve">          6235 - COVID-19 EXPENSES</v>
      </c>
      <c r="C71" s="11"/>
      <c r="D71" s="7"/>
      <c r="E71" s="2"/>
      <c r="F71" s="6">
        <f t="shared" si="44"/>
        <v>0</v>
      </c>
      <c r="G71" s="2"/>
      <c r="H71" s="7">
        <v>3917.37</v>
      </c>
      <c r="I71" s="2"/>
      <c r="J71" s="6">
        <f t="shared" si="45"/>
        <v>1.7617640045660323E-2</v>
      </c>
      <c r="K71" s="2"/>
      <c r="L71" s="7">
        <f t="shared" si="46"/>
        <v>-3917.37</v>
      </c>
      <c r="M71" s="2"/>
      <c r="N71" s="6">
        <f t="shared" si="47"/>
        <v>-1</v>
      </c>
      <c r="O71" s="11"/>
      <c r="P71" s="7"/>
      <c r="Q71" s="2"/>
      <c r="R71" s="6">
        <f t="shared" si="48"/>
        <v>0</v>
      </c>
      <c r="S71" s="2"/>
      <c r="T71" s="7">
        <v>17591.099999999999</v>
      </c>
      <c r="U71" s="2"/>
      <c r="V71" s="6">
        <f t="shared" si="49"/>
        <v>6.0344553745454117E-2</v>
      </c>
      <c r="W71" s="2"/>
      <c r="X71" s="7">
        <f t="shared" si="50"/>
        <v>-17591.099999999999</v>
      </c>
      <c r="Y71" s="2"/>
      <c r="Z71" s="6">
        <f t="shared" si="51"/>
        <v>-1</v>
      </c>
    </row>
    <row r="72" spans="1:26" s="24" customFormat="1" hidden="1" outlineLevel="2" x14ac:dyDescent="0.25">
      <c r="A72" s="28"/>
      <c r="B72" s="11" t="str">
        <f>CONCATENATE("          ", "6237", " - ", "JANITORIAL SUPPLIES")</f>
        <v xml:space="preserve">          6237 - JANITORIAL SUPPLIES</v>
      </c>
      <c r="C72" s="11"/>
      <c r="D72" s="7">
        <v>11902.26</v>
      </c>
      <c r="E72" s="2"/>
      <c r="F72" s="6">
        <f t="shared" si="44"/>
        <v>8.3431305028401157E-3</v>
      </c>
      <c r="G72" s="2"/>
      <c r="H72" s="7">
        <v>3488.76</v>
      </c>
      <c r="I72" s="2"/>
      <c r="J72" s="6">
        <f t="shared" si="45"/>
        <v>1.5690046609255166E-2</v>
      </c>
      <c r="K72" s="2"/>
      <c r="L72" s="7">
        <f t="shared" si="46"/>
        <v>8413.5</v>
      </c>
      <c r="M72" s="2"/>
      <c r="N72" s="6">
        <f t="shared" si="47"/>
        <v>2.4116018298765174</v>
      </c>
      <c r="O72" s="11"/>
      <c r="P72" s="7">
        <v>18034.34</v>
      </c>
      <c r="Q72" s="2"/>
      <c r="R72" s="6">
        <f t="shared" si="48"/>
        <v>9.3306539881298049E-3</v>
      </c>
      <c r="S72" s="2"/>
      <c r="T72" s="7">
        <v>6093.71</v>
      </c>
      <c r="U72" s="2"/>
      <c r="V72" s="6">
        <f t="shared" si="49"/>
        <v>2.0903878131794555E-2</v>
      </c>
      <c r="W72" s="2"/>
      <c r="X72" s="7">
        <f t="shared" si="50"/>
        <v>11940.630000000001</v>
      </c>
      <c r="Y72" s="2"/>
      <c r="Z72" s="6">
        <f t="shared" si="51"/>
        <v>1.9595008623646351</v>
      </c>
    </row>
    <row r="73" spans="1:26" s="24" customFormat="1" hidden="1" outlineLevel="2" x14ac:dyDescent="0.25">
      <c r="A73" s="28"/>
      <c r="B73" s="11" t="str">
        <f>CONCATENATE("          ", "6239", " - ", "KITCHEN SUPPLIES")</f>
        <v xml:space="preserve">          6239 - KITCHEN SUPPLIES</v>
      </c>
      <c r="C73" s="11"/>
      <c r="D73" s="7">
        <v>10197.49</v>
      </c>
      <c r="E73" s="2"/>
      <c r="F73" s="6">
        <f t="shared" si="44"/>
        <v>7.1481374017545452E-3</v>
      </c>
      <c r="G73" s="2"/>
      <c r="H73" s="7">
        <v>553.01</v>
      </c>
      <c r="I73" s="2"/>
      <c r="J73" s="6">
        <f t="shared" si="45"/>
        <v>2.4870592059597677E-3</v>
      </c>
      <c r="K73" s="2"/>
      <c r="L73" s="7">
        <f t="shared" si="46"/>
        <v>9644.48</v>
      </c>
      <c r="M73" s="2"/>
      <c r="N73" s="6">
        <f t="shared" si="47"/>
        <v>17.439973960687873</v>
      </c>
      <c r="O73" s="11"/>
      <c r="P73" s="7">
        <v>13048.69</v>
      </c>
      <c r="Q73" s="2"/>
      <c r="R73" s="6">
        <f t="shared" si="48"/>
        <v>6.7511653538953739E-3</v>
      </c>
      <c r="S73" s="2"/>
      <c r="T73" s="7">
        <v>2927.32</v>
      </c>
      <c r="U73" s="2"/>
      <c r="V73" s="6">
        <f t="shared" si="49"/>
        <v>1.0041885900832964E-2</v>
      </c>
      <c r="W73" s="2"/>
      <c r="X73" s="7">
        <f t="shared" si="50"/>
        <v>10121.370000000001</v>
      </c>
      <c r="Y73" s="2"/>
      <c r="Z73" s="6">
        <f t="shared" si="51"/>
        <v>3.4575550332727545</v>
      </c>
    </row>
    <row r="74" spans="1:26" s="24" customFormat="1" hidden="1" outlineLevel="2" x14ac:dyDescent="0.25">
      <c r="A74" s="28"/>
      <c r="B74" s="11" t="str">
        <f>CONCATENATE("          ", "6241", " - ", "OFFICE EXPENSE")</f>
        <v xml:space="preserve">          6241 - OFFICE EXPENSE</v>
      </c>
      <c r="C74" s="11"/>
      <c r="D74" s="7">
        <v>2610.11</v>
      </c>
      <c r="E74" s="2"/>
      <c r="F74" s="6">
        <f t="shared" si="44"/>
        <v>1.8296095327079074E-3</v>
      </c>
      <c r="G74" s="2"/>
      <c r="H74" s="7">
        <v>765.15</v>
      </c>
      <c r="I74" s="2"/>
      <c r="J74" s="6">
        <f t="shared" si="45"/>
        <v>3.4411192409542616E-3</v>
      </c>
      <c r="K74" s="2"/>
      <c r="L74" s="7">
        <f t="shared" si="46"/>
        <v>1844.96</v>
      </c>
      <c r="M74" s="2"/>
      <c r="N74" s="6">
        <f t="shared" si="47"/>
        <v>2.4112396262170819</v>
      </c>
      <c r="O74" s="11"/>
      <c r="P74" s="7">
        <v>6334.37</v>
      </c>
      <c r="Q74" s="2"/>
      <c r="R74" s="6">
        <f t="shared" si="48"/>
        <v>3.2772929146722188E-3</v>
      </c>
      <c r="S74" s="2"/>
      <c r="T74" s="7">
        <v>947.24</v>
      </c>
      <c r="U74" s="2"/>
      <c r="V74" s="6">
        <f t="shared" si="49"/>
        <v>3.2494144817461082E-3</v>
      </c>
      <c r="W74" s="2"/>
      <c r="X74" s="7">
        <f t="shared" si="50"/>
        <v>5387.13</v>
      </c>
      <c r="Y74" s="2"/>
      <c r="Z74" s="6">
        <f t="shared" si="51"/>
        <v>5.6871859296482414</v>
      </c>
    </row>
    <row r="75" spans="1:26" s="24" customFormat="1" hidden="1" outlineLevel="2" x14ac:dyDescent="0.25">
      <c r="A75" s="28"/>
      <c r="B75" s="11" t="str">
        <f>CONCATENATE("          ", "6243", " - ", "PAPER SUPPLIES")</f>
        <v xml:space="preserve">          6243 - PAPER SUPPLIES</v>
      </c>
      <c r="C75" s="11"/>
      <c r="D75" s="7">
        <v>23426.94</v>
      </c>
      <c r="E75" s="2"/>
      <c r="F75" s="6">
        <f t="shared" si="44"/>
        <v>1.6421588648055513E-2</v>
      </c>
      <c r="G75" s="2"/>
      <c r="H75" s="7"/>
      <c r="I75" s="2"/>
      <c r="J75" s="6">
        <f t="shared" si="45"/>
        <v>0</v>
      </c>
      <c r="K75" s="2"/>
      <c r="L75" s="7">
        <f t="shared" si="46"/>
        <v>23426.94</v>
      </c>
      <c r="M75" s="2"/>
      <c r="N75" s="6">
        <f t="shared" si="47"/>
        <v>0</v>
      </c>
      <c r="O75" s="11"/>
      <c r="P75" s="7">
        <v>38839.699999999997</v>
      </c>
      <c r="Q75" s="2"/>
      <c r="R75" s="6">
        <f t="shared" si="48"/>
        <v>2.0094985549943337E-2</v>
      </c>
      <c r="S75" s="2"/>
      <c r="T75" s="7">
        <v>3660.17</v>
      </c>
      <c r="U75" s="2"/>
      <c r="V75" s="6">
        <f t="shared" si="49"/>
        <v>1.2555856386610206E-2</v>
      </c>
      <c r="W75" s="2"/>
      <c r="X75" s="7">
        <f t="shared" si="50"/>
        <v>35179.53</v>
      </c>
      <c r="Y75" s="2"/>
      <c r="Z75" s="6">
        <f t="shared" si="51"/>
        <v>9.6114470092919184</v>
      </c>
    </row>
    <row r="76" spans="1:26" s="24" customFormat="1" hidden="1" outlineLevel="2" x14ac:dyDescent="0.25">
      <c r="A76" s="28"/>
      <c r="B76" s="11" t="str">
        <f>CONCATENATE("          ", "6247", " - ", "STORE SUPPLIES")</f>
        <v xml:space="preserve">          6247 - STORE SUPPLIES</v>
      </c>
      <c r="C76" s="11"/>
      <c r="D76" s="7">
        <v>382.02</v>
      </c>
      <c r="E76" s="2"/>
      <c r="F76" s="6">
        <f t="shared" si="44"/>
        <v>2.6778466565971346E-4</v>
      </c>
      <c r="G76" s="2"/>
      <c r="H76" s="7"/>
      <c r="I76" s="2"/>
      <c r="J76" s="6">
        <f t="shared" si="45"/>
        <v>0</v>
      </c>
      <c r="K76" s="2"/>
      <c r="L76" s="7">
        <f t="shared" si="46"/>
        <v>382.02</v>
      </c>
      <c r="M76" s="2"/>
      <c r="N76" s="6">
        <f t="shared" si="47"/>
        <v>0</v>
      </c>
      <c r="O76" s="11"/>
      <c r="P76" s="7">
        <v>382.02</v>
      </c>
      <c r="Q76" s="2"/>
      <c r="R76" s="6">
        <f t="shared" si="48"/>
        <v>1.9765050656388576E-4</v>
      </c>
      <c r="S76" s="2"/>
      <c r="T76" s="7"/>
      <c r="U76" s="2"/>
      <c r="V76" s="6">
        <f t="shared" si="49"/>
        <v>0</v>
      </c>
      <c r="W76" s="2"/>
      <c r="X76" s="7">
        <f t="shared" si="50"/>
        <v>382.02</v>
      </c>
      <c r="Y76" s="2"/>
      <c r="Z76" s="6">
        <f t="shared" si="51"/>
        <v>0</v>
      </c>
    </row>
    <row r="77" spans="1:26" s="24" customFormat="1" hidden="1" outlineLevel="2" x14ac:dyDescent="0.25">
      <c r="A77" s="28"/>
      <c r="B77" s="11" t="str">
        <f>CONCATENATE("          ", "6248", " - ", "UNIFORMS")</f>
        <v xml:space="preserve">          6248 - UNIFORMS</v>
      </c>
      <c r="C77" s="11"/>
      <c r="D77" s="7"/>
      <c r="E77" s="2"/>
      <c r="F77" s="6">
        <f t="shared" si="44"/>
        <v>0</v>
      </c>
      <c r="G77" s="2"/>
      <c r="H77" s="7">
        <v>303.7</v>
      </c>
      <c r="I77" s="2"/>
      <c r="J77" s="6">
        <f t="shared" si="45"/>
        <v>1.3658340370879033E-3</v>
      </c>
      <c r="K77" s="2"/>
      <c r="L77" s="7">
        <f t="shared" si="46"/>
        <v>-303.7</v>
      </c>
      <c r="M77" s="2"/>
      <c r="N77" s="6">
        <f t="shared" si="47"/>
        <v>-1</v>
      </c>
      <c r="O77" s="11"/>
      <c r="P77" s="7"/>
      <c r="Q77" s="2"/>
      <c r="R77" s="6">
        <f t="shared" si="48"/>
        <v>0</v>
      </c>
      <c r="S77" s="2"/>
      <c r="T77" s="7">
        <v>3814.68</v>
      </c>
      <c r="U77" s="2"/>
      <c r="V77" s="6">
        <f t="shared" si="49"/>
        <v>1.3085887879763568E-2</v>
      </c>
      <c r="W77" s="2"/>
      <c r="X77" s="7">
        <f t="shared" si="50"/>
        <v>-3814.68</v>
      </c>
      <c r="Y77" s="2"/>
      <c r="Z77" s="6">
        <f t="shared" si="51"/>
        <v>-1</v>
      </c>
    </row>
    <row r="78" spans="1:26" s="27" customFormat="1" outlineLevel="1" collapsed="1" x14ac:dyDescent="0.25">
      <c r="A78" s="29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SUM(OSRRefD22_15x_0)</f>
        <v>860.85</v>
      </c>
      <c r="E78" s="1"/>
      <c r="F78" s="5">
        <f t="shared" ref="F78:F84" si="52">IF(D$12=0,0,D78/D$12)</f>
        <v>6.0343026394734398E-4</v>
      </c>
      <c r="G78" s="1"/>
      <c r="H78" s="1">
        <f>SUM(OSRRefH22_15x_0)</f>
        <v>975</v>
      </c>
      <c r="I78" s="1"/>
      <c r="J78" s="5">
        <f t="shared" ref="J78:J84" si="53">IF(H$12=0,0,H78/H$12)</f>
        <v>4.3848804285831601E-3</v>
      </c>
      <c r="K78" s="1"/>
      <c r="L78" s="1">
        <f t="shared" ref="L78:L84" si="54">+D78-H78</f>
        <v>-114.14999999999998</v>
      </c>
      <c r="M78" s="1"/>
      <c r="N78" s="5">
        <f t="shared" ref="N78:N84" si="55">IF(H78=0,0,L78/H78)</f>
        <v>-0.11707692307692305</v>
      </c>
      <c r="O78" s="14"/>
      <c r="P78" s="1">
        <f>SUM(OSRRefP22_15x_0)</f>
        <v>1982.85</v>
      </c>
      <c r="Q78" s="1"/>
      <c r="R78" s="5">
        <f t="shared" ref="R78:R84" si="56">IF(P$12=0,0,P78/P$12)</f>
        <v>1.0258921180571721E-3</v>
      </c>
      <c r="S78" s="1"/>
      <c r="T78" s="1">
        <f>SUM(OSRRefT22_15x_0)</f>
        <v>2240</v>
      </c>
      <c r="U78" s="1"/>
      <c r="V78" s="5">
        <f t="shared" ref="V78:V84" si="57">IF(T$12=0,0,T78/T$12)</f>
        <v>7.6841016417288988E-3</v>
      </c>
      <c r="W78" s="1"/>
      <c r="X78" s="1">
        <f t="shared" ref="X78:X84" si="58">+P78-T78</f>
        <v>-257.15000000000009</v>
      </c>
      <c r="Y78" s="1"/>
      <c r="Z78" s="5">
        <f t="shared" ref="Z78:Z84" si="59">IF(T78=0,0,X78/T78)</f>
        <v>-0.11479910714285718</v>
      </c>
    </row>
    <row r="79" spans="1:26" s="24" customFormat="1" hidden="1" outlineLevel="2" x14ac:dyDescent="0.25">
      <c r="A79" s="28"/>
      <c r="B79" s="11" t="str">
        <f>CONCATENATE("          ", "6309", " - ", "TELEPHONE")</f>
        <v xml:space="preserve">          6309 - TELEPHONE</v>
      </c>
      <c r="C79" s="11"/>
      <c r="D79" s="7">
        <v>860.85</v>
      </c>
      <c r="E79" s="2"/>
      <c r="F79" s="6">
        <f t="shared" si="52"/>
        <v>6.0343026394734398E-4</v>
      </c>
      <c r="G79" s="2"/>
      <c r="H79" s="7">
        <v>975</v>
      </c>
      <c r="I79" s="2"/>
      <c r="J79" s="6">
        <f t="shared" si="53"/>
        <v>4.3848804285831601E-3</v>
      </c>
      <c r="K79" s="2"/>
      <c r="L79" s="7">
        <f t="shared" si="54"/>
        <v>-114.14999999999998</v>
      </c>
      <c r="M79" s="2"/>
      <c r="N79" s="6">
        <f t="shared" si="55"/>
        <v>-0.11707692307692305</v>
      </c>
      <c r="O79" s="11"/>
      <c r="P79" s="7">
        <v>1982.85</v>
      </c>
      <c r="Q79" s="2"/>
      <c r="R79" s="6">
        <f t="shared" si="56"/>
        <v>1.0258921180571721E-3</v>
      </c>
      <c r="S79" s="2"/>
      <c r="T79" s="7">
        <v>2240</v>
      </c>
      <c r="U79" s="2"/>
      <c r="V79" s="6">
        <f t="shared" si="57"/>
        <v>7.6841016417288988E-3</v>
      </c>
      <c r="W79" s="2"/>
      <c r="X79" s="7">
        <f t="shared" si="58"/>
        <v>-257.15000000000009</v>
      </c>
      <c r="Y79" s="2"/>
      <c r="Z79" s="6">
        <f t="shared" si="59"/>
        <v>-0.11479910714285718</v>
      </c>
    </row>
    <row r="80" spans="1:26" s="27" customFormat="1" outlineLevel="1" collapsed="1" x14ac:dyDescent="0.25">
      <c r="A80" s="29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SUM(OSRRefD22_16x_0)</f>
        <v>0</v>
      </c>
      <c r="E80" s="1"/>
      <c r="F80" s="5">
        <f t="shared" si="52"/>
        <v>0</v>
      </c>
      <c r="G80" s="1"/>
      <c r="H80" s="1">
        <f>SUM(OSRRefH22_16x_0)</f>
        <v>0</v>
      </c>
      <c r="I80" s="1"/>
      <c r="J80" s="5">
        <f t="shared" si="53"/>
        <v>0</v>
      </c>
      <c r="K80" s="1"/>
      <c r="L80" s="1">
        <f t="shared" si="54"/>
        <v>0</v>
      </c>
      <c r="M80" s="1"/>
      <c r="N80" s="5">
        <f t="shared" si="55"/>
        <v>0</v>
      </c>
      <c r="O80" s="14"/>
      <c r="P80" s="1">
        <f>SUM(OSRRefP22_16x_0)</f>
        <v>0</v>
      </c>
      <c r="Q80" s="1"/>
      <c r="R80" s="5">
        <f t="shared" si="56"/>
        <v>0</v>
      </c>
      <c r="S80" s="1"/>
      <c r="T80" s="1">
        <f>SUM(OSRRefT22_16x_0)</f>
        <v>350</v>
      </c>
      <c r="U80" s="1"/>
      <c r="V80" s="5">
        <f t="shared" si="57"/>
        <v>1.2006408815201405E-3</v>
      </c>
      <c r="W80" s="1"/>
      <c r="X80" s="1">
        <f t="shared" si="58"/>
        <v>-350</v>
      </c>
      <c r="Y80" s="1"/>
      <c r="Z80" s="5">
        <f t="shared" si="59"/>
        <v>-1</v>
      </c>
    </row>
    <row r="81" spans="1:26" s="24" customFormat="1" hidden="1" outlineLevel="2" x14ac:dyDescent="0.25">
      <c r="A81" s="28"/>
      <c r="B81" s="11" t="str">
        <f>CONCATENATE("          ", "6376", " - ", "TRAINING")</f>
        <v xml:space="preserve">          6376 - TRAINING</v>
      </c>
      <c r="C81" s="11"/>
      <c r="D81" s="7"/>
      <c r="E81" s="2"/>
      <c r="F81" s="6">
        <f t="shared" si="52"/>
        <v>0</v>
      </c>
      <c r="G81" s="2"/>
      <c r="H81" s="7"/>
      <c r="I81" s="2"/>
      <c r="J81" s="6">
        <f t="shared" si="53"/>
        <v>0</v>
      </c>
      <c r="K81" s="2"/>
      <c r="L81" s="7">
        <f t="shared" si="54"/>
        <v>0</v>
      </c>
      <c r="M81" s="2"/>
      <c r="N81" s="6">
        <f t="shared" si="55"/>
        <v>0</v>
      </c>
      <c r="O81" s="11"/>
      <c r="P81" s="7"/>
      <c r="Q81" s="2"/>
      <c r="R81" s="6">
        <f t="shared" si="56"/>
        <v>0</v>
      </c>
      <c r="S81" s="2"/>
      <c r="T81" s="7">
        <v>350</v>
      </c>
      <c r="U81" s="2"/>
      <c r="V81" s="6">
        <f t="shared" si="57"/>
        <v>1.2006408815201405E-3</v>
      </c>
      <c r="W81" s="2"/>
      <c r="X81" s="7">
        <f t="shared" si="58"/>
        <v>-350</v>
      </c>
      <c r="Y81" s="2"/>
      <c r="Z81" s="6">
        <f t="shared" si="59"/>
        <v>-1</v>
      </c>
    </row>
    <row r="82" spans="1:26" s="27" customFormat="1" outlineLevel="1" collapsed="1" x14ac:dyDescent="0.25">
      <c r="A82" s="29"/>
      <c r="B82" s="14" t="str">
        <f>CONCATENATE("     ","Travel                                            ")</f>
        <v xml:space="preserve">     Travel                                            </v>
      </c>
      <c r="C82" s="14"/>
      <c r="D82" s="1">
        <f>SUM(OSRRefD22_17x_0)</f>
        <v>104.02</v>
      </c>
      <c r="E82" s="1"/>
      <c r="F82" s="5">
        <f t="shared" si="52"/>
        <v>7.2914928333394572E-5</v>
      </c>
      <c r="G82" s="1"/>
      <c r="H82" s="1">
        <f>SUM(OSRRefH22_17x_0)</f>
        <v>0</v>
      </c>
      <c r="I82" s="1"/>
      <c r="J82" s="5">
        <f t="shared" si="53"/>
        <v>0</v>
      </c>
      <c r="K82" s="1"/>
      <c r="L82" s="1">
        <f t="shared" si="54"/>
        <v>104.02</v>
      </c>
      <c r="M82" s="1"/>
      <c r="N82" s="5">
        <f t="shared" si="55"/>
        <v>0</v>
      </c>
      <c r="O82" s="14"/>
      <c r="P82" s="1">
        <f>SUM(OSRRefP22_17x_0)</f>
        <v>699.02</v>
      </c>
      <c r="Q82" s="1"/>
      <c r="R82" s="5">
        <f t="shared" si="56"/>
        <v>3.6166079550360567E-4</v>
      </c>
      <c r="S82" s="1"/>
      <c r="T82" s="1">
        <f>SUM(OSRRefT22_17x_0)</f>
        <v>0</v>
      </c>
      <c r="U82" s="1"/>
      <c r="V82" s="5">
        <f t="shared" si="57"/>
        <v>0</v>
      </c>
      <c r="W82" s="1"/>
      <c r="X82" s="1">
        <f t="shared" si="58"/>
        <v>699.02</v>
      </c>
      <c r="Y82" s="1"/>
      <c r="Z82" s="5">
        <f t="shared" si="59"/>
        <v>0</v>
      </c>
    </row>
    <row r="83" spans="1:26" s="24" customFormat="1" hidden="1" outlineLevel="2" x14ac:dyDescent="0.25">
      <c r="A83" s="28"/>
      <c r="B83" s="11" t="str">
        <f>CONCATENATE("          ", "6292", " - ", "TRAVEL/CONFERENCE")</f>
        <v xml:space="preserve">          6292 - TRAVEL/CONFERENCE</v>
      </c>
      <c r="C83" s="11"/>
      <c r="D83" s="7"/>
      <c r="E83" s="2"/>
      <c r="F83" s="6">
        <f t="shared" si="52"/>
        <v>0</v>
      </c>
      <c r="G83" s="2"/>
      <c r="H83" s="7"/>
      <c r="I83" s="2"/>
      <c r="J83" s="6">
        <f t="shared" si="53"/>
        <v>0</v>
      </c>
      <c r="K83" s="2"/>
      <c r="L83" s="7">
        <f t="shared" si="54"/>
        <v>0</v>
      </c>
      <c r="M83" s="2"/>
      <c r="N83" s="6">
        <f t="shared" si="55"/>
        <v>0</v>
      </c>
      <c r="O83" s="11"/>
      <c r="P83" s="7">
        <v>595</v>
      </c>
      <c r="Q83" s="2"/>
      <c r="R83" s="6">
        <f t="shared" si="56"/>
        <v>3.0784265589631964E-4</v>
      </c>
      <c r="S83" s="2"/>
      <c r="T83" s="7"/>
      <c r="U83" s="2"/>
      <c r="V83" s="6">
        <f t="shared" si="57"/>
        <v>0</v>
      </c>
      <c r="W83" s="2"/>
      <c r="X83" s="7">
        <f t="shared" si="58"/>
        <v>595</v>
      </c>
      <c r="Y83" s="2"/>
      <c r="Z83" s="6">
        <f t="shared" si="59"/>
        <v>0</v>
      </c>
    </row>
    <row r="84" spans="1:26" s="24" customFormat="1" hidden="1" outlineLevel="2" x14ac:dyDescent="0.25">
      <c r="A84" s="28"/>
      <c r="B84" s="11" t="str">
        <f>CONCATENATE("          ", "6298", " - ", "VEHICLE MILEAGE")</f>
        <v xml:space="preserve">          6298 - VEHICLE MILEAGE</v>
      </c>
      <c r="C84" s="11"/>
      <c r="D84" s="7">
        <v>104.02</v>
      </c>
      <c r="E84" s="2"/>
      <c r="F84" s="6">
        <f t="shared" si="52"/>
        <v>7.2914928333394572E-5</v>
      </c>
      <c r="G84" s="2"/>
      <c r="H84" s="7"/>
      <c r="I84" s="2"/>
      <c r="J84" s="6">
        <f t="shared" si="53"/>
        <v>0</v>
      </c>
      <c r="K84" s="2"/>
      <c r="L84" s="7">
        <f t="shared" si="54"/>
        <v>104.02</v>
      </c>
      <c r="M84" s="2"/>
      <c r="N84" s="6">
        <f t="shared" si="55"/>
        <v>0</v>
      </c>
      <c r="O84" s="11"/>
      <c r="P84" s="7">
        <v>104.02</v>
      </c>
      <c r="Q84" s="2"/>
      <c r="R84" s="6">
        <f t="shared" si="56"/>
        <v>5.3818139607285996E-5</v>
      </c>
      <c r="S84" s="2"/>
      <c r="T84" s="7"/>
      <c r="U84" s="2"/>
      <c r="V84" s="6">
        <f t="shared" si="57"/>
        <v>0</v>
      </c>
      <c r="W84" s="2"/>
      <c r="X84" s="7">
        <f t="shared" si="58"/>
        <v>104.02</v>
      </c>
      <c r="Y84" s="2"/>
      <c r="Z84" s="6">
        <f t="shared" si="59"/>
        <v>0</v>
      </c>
    </row>
    <row r="85" spans="1:26" s="54" customFormat="1" x14ac:dyDescent="0.25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6" t="s">
        <v>292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5" t="s">
        <v>276</v>
      </c>
      <c r="C88" s="25"/>
      <c r="D88" s="21">
        <f>+D21-D23+D86</f>
        <v>570121.91000000015</v>
      </c>
      <c r="E88" s="13"/>
      <c r="F88" s="22">
        <f>IF(D$12=0,0,D88/D$12)</f>
        <v>0.39963851383337862</v>
      </c>
      <c r="G88" s="13"/>
      <c r="H88" s="21">
        <f>+H21-H23+H86</f>
        <v>-63156.22</v>
      </c>
      <c r="I88" s="13"/>
      <c r="J88" s="22">
        <f>IF(H$12=0,0,H88/H$12)</f>
        <v>-0.284033305662864</v>
      </c>
      <c r="K88" s="16"/>
      <c r="L88" s="21">
        <f>+D88-H88</f>
        <v>633278.13000000012</v>
      </c>
      <c r="M88" s="16"/>
      <c r="N88" s="22">
        <f>IF(H88=0,0,L88/H88)</f>
        <v>-10.027169612114216</v>
      </c>
      <c r="O88" s="26"/>
      <c r="P88" s="21">
        <f>+P21-P23+P86</f>
        <v>375681.70999999996</v>
      </c>
      <c r="Q88" s="13"/>
      <c r="R88" s="22">
        <f>IF(P$12=0,0,P88/P$12)</f>
        <v>0.19437118550936291</v>
      </c>
      <c r="S88" s="13"/>
      <c r="T88" s="21">
        <f>+T21-T23+T86</f>
        <v>-435824.7899999998</v>
      </c>
      <c r="U88" s="13"/>
      <c r="V88" s="22">
        <f>IF(T$12=0,0,T88/T$12)</f>
        <v>-1.4950544572969424</v>
      </c>
      <c r="W88" s="16"/>
      <c r="X88" s="21">
        <f>+P88-T88</f>
        <v>811506.49999999977</v>
      </c>
      <c r="Y88" s="16"/>
      <c r="Z88" s="22">
        <f>IF(T88=0,0,X88/T88)</f>
        <v>-1.8620017002704232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1"/>
      <c r="B90" s="10" t="s">
        <v>127</v>
      </c>
      <c r="C90" s="10"/>
      <c r="D90" s="4">
        <v>163589.49</v>
      </c>
      <c r="E90" s="4"/>
      <c r="F90" s="12">
        <f>IF(D$12=0,0,D90/D$12)</f>
        <v>0.11467137030808083</v>
      </c>
      <c r="G90" s="4"/>
      <c r="H90" s="4">
        <v>42327.8</v>
      </c>
      <c r="I90" s="4"/>
      <c r="J90" s="12">
        <f>IF(H$12=0,0,H90/H$12)</f>
        <v>0.19036137621023827</v>
      </c>
      <c r="K90" s="4"/>
      <c r="L90" s="4">
        <f>+D90-H90</f>
        <v>121261.68999999999</v>
      </c>
      <c r="M90" s="4"/>
      <c r="N90" s="12">
        <f>IF(H90=0,0,L90/H90)</f>
        <v>2.8648238273664113</v>
      </c>
      <c r="O90" s="10"/>
      <c r="P90" s="4">
        <v>239234.21</v>
      </c>
      <c r="Q90" s="4"/>
      <c r="R90" s="12">
        <f>IF(P$12=0,0,P90/P$12)</f>
        <v>0.12377562115572752</v>
      </c>
      <c r="S90" s="4"/>
      <c r="T90" s="4">
        <v>54003.86</v>
      </c>
      <c r="U90" s="4"/>
      <c r="V90" s="12">
        <f>IF(T$12=0,0,T90/T$12)</f>
        <v>0.18525497735968643</v>
      </c>
      <c r="W90" s="4"/>
      <c r="X90" s="4">
        <f>+P90-T90</f>
        <v>185230.34999999998</v>
      </c>
      <c r="Y90" s="4"/>
      <c r="Z90" s="12">
        <f>IF(T90=0,0,X90/T90)</f>
        <v>3.4299464890102294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5" t="s">
        <v>125</v>
      </c>
      <c r="C92" s="25"/>
      <c r="D92" s="33">
        <f>+D88-D90</f>
        <v>406532.42000000016</v>
      </c>
      <c r="E92" s="13"/>
      <c r="F92" s="35">
        <f>IF(D$12=0,0,D92/D$12)</f>
        <v>0.28496714352529778</v>
      </c>
      <c r="G92" s="13"/>
      <c r="H92" s="33">
        <f>+H88-H90</f>
        <v>-105484.02</v>
      </c>
      <c r="I92" s="13"/>
      <c r="J92" s="35">
        <f>IF(H$12=0,0,H92/H$12)</f>
        <v>-0.47439468187310224</v>
      </c>
      <c r="K92" s="16"/>
      <c r="L92" s="33">
        <f>D92-H92</f>
        <v>512016.44000000018</v>
      </c>
      <c r="M92" s="16"/>
      <c r="N92" s="35">
        <f>IF(H92=0,0,L92/H92)</f>
        <v>-4.8539716252755643</v>
      </c>
      <c r="O92" s="26"/>
      <c r="P92" s="33">
        <f>+P88-P90</f>
        <v>136447.49999999997</v>
      </c>
      <c r="Q92" s="13"/>
      <c r="R92" s="35">
        <f>IF(P$12=0,0,P92/P$12)</f>
        <v>7.0595564353635412E-2</v>
      </c>
      <c r="S92" s="13"/>
      <c r="T92" s="33">
        <f>+T88-T90</f>
        <v>-489828.64999999979</v>
      </c>
      <c r="U92" s="13"/>
      <c r="V92" s="35">
        <f>IF(T$12=0,0,T92/T$12)</f>
        <v>-1.6803094346566287</v>
      </c>
      <c r="W92" s="16"/>
      <c r="X92" s="33">
        <f>P92-T92</f>
        <v>626276.14999999979</v>
      </c>
      <c r="Y92" s="16"/>
      <c r="Z92" s="35">
        <f>IF(T92=0,0,X92/T92)</f>
        <v>-1.278561697034259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5" t="s">
        <v>293</v>
      </c>
      <c r="C95" s="25"/>
      <c r="D95" s="31">
        <f>SUM(D92:D94)</f>
        <v>406532.42000000016</v>
      </c>
      <c r="E95" s="13"/>
      <c r="F95" s="32">
        <f>IF(D$12=0,0,D95/D$12)</f>
        <v>0.28496714352529778</v>
      </c>
      <c r="G95" s="13"/>
      <c r="H95" s="31">
        <f>SUM(H92:H94)</f>
        <v>-105484.02</v>
      </c>
      <c r="I95" s="13"/>
      <c r="J95" s="32">
        <f>IF(H$12=0,0,H95/H$12)</f>
        <v>-0.47439468187310224</v>
      </c>
      <c r="K95" s="16"/>
      <c r="L95" s="31">
        <f>+D95-H95</f>
        <v>512016.44000000018</v>
      </c>
      <c r="M95" s="16"/>
      <c r="N95" s="32">
        <f>IF(H95=0,0,L95/H95)</f>
        <v>-4.8539716252755643</v>
      </c>
      <c r="O95" s="26"/>
      <c r="P95" s="31">
        <f>SUM(P92:P94)</f>
        <v>136447.49999999997</v>
      </c>
      <c r="Q95" s="13"/>
      <c r="R95" s="32">
        <f>IF(P$12=0,0,P95/P$12)</f>
        <v>7.0595564353635412E-2</v>
      </c>
      <c r="S95" s="13"/>
      <c r="T95" s="31">
        <f>SUM(T92:T94)</f>
        <v>-489828.64999999979</v>
      </c>
      <c r="U95" s="13"/>
      <c r="V95" s="32">
        <f>IF(T$12=0,0,T95/T$12)</f>
        <v>-1.6803094346566287</v>
      </c>
      <c r="W95" s="16"/>
      <c r="X95" s="31">
        <f>+P95-T95</f>
        <v>626276.14999999979</v>
      </c>
      <c r="Y95" s="16"/>
      <c r="Z95" s="32">
        <f>IF(T95=0,0,X95/T95)</f>
        <v>-1.278561697034259</v>
      </c>
    </row>
    <row r="96" spans="1:26" ht="15.75" thickTop="1" x14ac:dyDescent="0.25">
      <c r="A96" s="9"/>
      <c r="C96" s="9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8">
        <v>44481.985601192129</v>
      </c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A98" s="9"/>
      <c r="B98" s="53" t="s">
        <v>56</v>
      </c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4" x14ac:dyDescent="0.25">
      <c r="A99" s="9"/>
      <c r="B99" s="52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4" x14ac:dyDescent="0.25"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","430", " - ", "Res Hall Management")</f>
        <v>Department 430 - Res Hall Management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16881.870000000003</v>
      </c>
      <c r="E18" s="20"/>
      <c r="F18" s="30">
        <f t="shared" ref="F18:F27" si="0">IF(D$12=0,0,D18/D$12)</f>
        <v>0</v>
      </c>
      <c r="G18" s="20"/>
      <c r="H18" s="20">
        <f>SUM(OSRRefH22x_0)</f>
        <v>14907.630000000001</v>
      </c>
      <c r="I18" s="20"/>
      <c r="J18" s="30">
        <f t="shared" ref="J18:J27" si="1">IF(H$12=0,0,H18/H$12)</f>
        <v>0</v>
      </c>
      <c r="K18" s="4"/>
      <c r="L18" s="20">
        <f t="shared" ref="L18:L27" si="2">+D18-H18</f>
        <v>1974.2400000000016</v>
      </c>
      <c r="M18" s="4"/>
      <c r="N18" s="30">
        <f t="shared" ref="N18:N27" si="3">IF(H18=0,0,L18/H18)</f>
        <v>0.13243151325864685</v>
      </c>
      <c r="O18" s="10"/>
      <c r="P18" s="20">
        <f>SUM(OSRRefP22x_0)</f>
        <v>56436.33</v>
      </c>
      <c r="Q18" s="20"/>
      <c r="R18" s="30">
        <f t="shared" ref="R18:R27" si="4">IF(P$12=0,0,P18/P$12)</f>
        <v>0</v>
      </c>
      <c r="S18" s="20"/>
      <c r="T18" s="20">
        <f>SUM(OSRRefT22x_0)</f>
        <v>47229.96</v>
      </c>
      <c r="U18" s="20"/>
      <c r="V18" s="30">
        <f t="shared" ref="V18:V27" si="5">IF(T$12=0,0,T18/T$12)</f>
        <v>0</v>
      </c>
      <c r="W18" s="4"/>
      <c r="X18" s="20">
        <f t="shared" ref="X18:X27" si="6">+P18-T18</f>
        <v>9206.3700000000026</v>
      </c>
      <c r="Y18" s="4"/>
      <c r="Z18" s="30">
        <f t="shared" ref="Z18:Z27" si="7">IF(T18=0,0,X18/T18)</f>
        <v>0.19492648310521549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5691.31</v>
      </c>
      <c r="E19" s="1"/>
      <c r="F19" s="5">
        <f t="shared" si="0"/>
        <v>0</v>
      </c>
      <c r="G19" s="1"/>
      <c r="H19" s="1">
        <f>SUM(OSRRefH22_0x_0)</f>
        <v>5796.4400000000005</v>
      </c>
      <c r="I19" s="1"/>
      <c r="J19" s="5">
        <f t="shared" si="1"/>
        <v>0</v>
      </c>
      <c r="K19" s="1"/>
      <c r="L19" s="1">
        <f t="shared" si="2"/>
        <v>-105.13000000000011</v>
      </c>
      <c r="M19" s="1"/>
      <c r="N19" s="5">
        <f t="shared" si="3"/>
        <v>-1.8136994431064601E-2</v>
      </c>
      <c r="O19" s="14"/>
      <c r="P19" s="1">
        <f>SUM(OSRRefP22_0x_0)</f>
        <v>17144.16</v>
      </c>
      <c r="Q19" s="1"/>
      <c r="R19" s="5">
        <f t="shared" si="4"/>
        <v>0</v>
      </c>
      <c r="S19" s="1"/>
      <c r="T19" s="1">
        <f>SUM(OSRRefT22_0x_0)</f>
        <v>16504.310000000001</v>
      </c>
      <c r="U19" s="1"/>
      <c r="V19" s="5">
        <f t="shared" si="5"/>
        <v>0</v>
      </c>
      <c r="W19" s="1"/>
      <c r="X19" s="1">
        <f t="shared" si="6"/>
        <v>639.84999999999854</v>
      </c>
      <c r="Y19" s="1"/>
      <c r="Z19" s="5">
        <f t="shared" si="7"/>
        <v>3.8768661034602386E-2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691.15</v>
      </c>
      <c r="E20" s="2"/>
      <c r="F20" s="6">
        <f t="shared" si="0"/>
        <v>0</v>
      </c>
      <c r="G20" s="2"/>
      <c r="H20" s="7">
        <v>685.42</v>
      </c>
      <c r="I20" s="2"/>
      <c r="J20" s="6">
        <f t="shared" si="1"/>
        <v>0</v>
      </c>
      <c r="K20" s="2"/>
      <c r="L20" s="7">
        <f t="shared" si="2"/>
        <v>5.7300000000000182</v>
      </c>
      <c r="M20" s="2"/>
      <c r="N20" s="6">
        <f t="shared" si="3"/>
        <v>8.359837763706952E-3</v>
      </c>
      <c r="O20" s="11"/>
      <c r="P20" s="7">
        <v>2067.7199999999998</v>
      </c>
      <c r="Q20" s="2"/>
      <c r="R20" s="6">
        <f t="shared" si="4"/>
        <v>0</v>
      </c>
      <c r="S20" s="2"/>
      <c r="T20" s="7">
        <v>2056.2600000000002</v>
      </c>
      <c r="U20" s="2"/>
      <c r="V20" s="6">
        <f t="shared" si="5"/>
        <v>0</v>
      </c>
      <c r="W20" s="2"/>
      <c r="X20" s="7">
        <f t="shared" si="6"/>
        <v>11.459999999999582</v>
      </c>
      <c r="Y20" s="2"/>
      <c r="Z20" s="6">
        <f t="shared" si="7"/>
        <v>5.5732251758044121E-3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325.24</v>
      </c>
      <c r="E21" s="2"/>
      <c r="F21" s="6">
        <f t="shared" si="0"/>
        <v>0</v>
      </c>
      <c r="G21" s="2"/>
      <c r="H21" s="7">
        <v>384.36</v>
      </c>
      <c r="I21" s="2"/>
      <c r="J21" s="6">
        <f t="shared" si="1"/>
        <v>0</v>
      </c>
      <c r="K21" s="2"/>
      <c r="L21" s="7">
        <f t="shared" si="2"/>
        <v>-59.120000000000005</v>
      </c>
      <c r="M21" s="2"/>
      <c r="N21" s="6">
        <f t="shared" si="3"/>
        <v>-0.15381413258403581</v>
      </c>
      <c r="O21" s="11"/>
      <c r="P21" s="7">
        <v>973.02</v>
      </c>
      <c r="Q21" s="2"/>
      <c r="R21" s="6">
        <f t="shared" si="4"/>
        <v>0</v>
      </c>
      <c r="S21" s="2"/>
      <c r="T21" s="7">
        <v>1153.08</v>
      </c>
      <c r="U21" s="2"/>
      <c r="V21" s="6">
        <f t="shared" si="5"/>
        <v>0</v>
      </c>
      <c r="W21" s="2"/>
      <c r="X21" s="7">
        <f t="shared" si="6"/>
        <v>-180.05999999999995</v>
      </c>
      <c r="Y21" s="2"/>
      <c r="Z21" s="6">
        <f t="shared" si="7"/>
        <v>-0.15615568737641791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2699.23</v>
      </c>
      <c r="E22" s="2"/>
      <c r="F22" s="6">
        <f t="shared" si="0"/>
        <v>0</v>
      </c>
      <c r="G22" s="2"/>
      <c r="H22" s="7">
        <v>2737.9</v>
      </c>
      <c r="I22" s="2"/>
      <c r="J22" s="6">
        <f t="shared" si="1"/>
        <v>0</v>
      </c>
      <c r="K22" s="2"/>
      <c r="L22" s="7">
        <f t="shared" si="2"/>
        <v>-38.670000000000073</v>
      </c>
      <c r="M22" s="2"/>
      <c r="N22" s="6">
        <f t="shared" si="3"/>
        <v>-1.4123963621753926E-2</v>
      </c>
      <c r="O22" s="11"/>
      <c r="P22" s="7">
        <v>8075.19</v>
      </c>
      <c r="Q22" s="2"/>
      <c r="R22" s="6">
        <f t="shared" si="4"/>
        <v>0</v>
      </c>
      <c r="S22" s="2"/>
      <c r="T22" s="7">
        <v>8213.7000000000007</v>
      </c>
      <c r="U22" s="2"/>
      <c r="V22" s="6">
        <f t="shared" si="5"/>
        <v>0</v>
      </c>
      <c r="W22" s="2"/>
      <c r="X22" s="7">
        <f t="shared" si="6"/>
        <v>-138.51000000000113</v>
      </c>
      <c r="Y22" s="2"/>
      <c r="Z22" s="6">
        <f t="shared" si="7"/>
        <v>-1.6863289382373487E-2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23.49</v>
      </c>
      <c r="E23" s="2"/>
      <c r="F23" s="6">
        <f t="shared" si="0"/>
        <v>0</v>
      </c>
      <c r="G23" s="2"/>
      <c r="H23" s="7">
        <v>23.29</v>
      </c>
      <c r="I23" s="2"/>
      <c r="J23" s="6">
        <f t="shared" si="1"/>
        <v>0</v>
      </c>
      <c r="K23" s="2"/>
      <c r="L23" s="7">
        <f t="shared" si="2"/>
        <v>0.19999999999999929</v>
      </c>
      <c r="M23" s="2"/>
      <c r="N23" s="6">
        <f t="shared" si="3"/>
        <v>8.587376556461971E-3</v>
      </c>
      <c r="O23" s="11"/>
      <c r="P23" s="7">
        <v>70.27</v>
      </c>
      <c r="Q23" s="2"/>
      <c r="R23" s="6">
        <f t="shared" si="4"/>
        <v>0</v>
      </c>
      <c r="S23" s="2"/>
      <c r="T23" s="7">
        <v>69.87</v>
      </c>
      <c r="U23" s="2"/>
      <c r="V23" s="6">
        <f t="shared" si="5"/>
        <v>0</v>
      </c>
      <c r="W23" s="2"/>
      <c r="X23" s="7">
        <f t="shared" si="6"/>
        <v>0.39999999999999147</v>
      </c>
      <c r="Y23" s="2"/>
      <c r="Z23" s="6">
        <f t="shared" si="7"/>
        <v>5.724917704307878E-3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680.03</v>
      </c>
      <c r="E24" s="2"/>
      <c r="F24" s="6">
        <f t="shared" si="0"/>
        <v>0</v>
      </c>
      <c r="G24" s="2"/>
      <c r="H24" s="7">
        <v>692.57</v>
      </c>
      <c r="I24" s="2"/>
      <c r="J24" s="6">
        <f t="shared" si="1"/>
        <v>0</v>
      </c>
      <c r="K24" s="2"/>
      <c r="L24" s="7">
        <f t="shared" si="2"/>
        <v>-12.540000000000077</v>
      </c>
      <c r="M24" s="2"/>
      <c r="N24" s="6">
        <f t="shared" si="3"/>
        <v>-1.8106472991899845E-2</v>
      </c>
      <c r="O24" s="11"/>
      <c r="P24" s="7">
        <v>2040.09</v>
      </c>
      <c r="Q24" s="2"/>
      <c r="R24" s="6">
        <f t="shared" si="4"/>
        <v>0</v>
      </c>
      <c r="S24" s="2"/>
      <c r="T24" s="7">
        <v>2424</v>
      </c>
      <c r="U24" s="2"/>
      <c r="V24" s="6">
        <f t="shared" si="5"/>
        <v>0</v>
      </c>
      <c r="W24" s="2"/>
      <c r="X24" s="7">
        <f t="shared" si="6"/>
        <v>-383.91000000000008</v>
      </c>
      <c r="Y24" s="2"/>
      <c r="Z24" s="6">
        <f t="shared" si="7"/>
        <v>-0.15837871287128716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7">
        <v>827.64</v>
      </c>
      <c r="E25" s="2"/>
      <c r="F25" s="6">
        <f t="shared" si="0"/>
        <v>0</v>
      </c>
      <c r="G25" s="2"/>
      <c r="H25" s="7">
        <v>827.64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2482.92</v>
      </c>
      <c r="Q25" s="2"/>
      <c r="R25" s="6">
        <f t="shared" si="4"/>
        <v>0</v>
      </c>
      <c r="S25" s="2"/>
      <c r="T25" s="7">
        <v>1275.6199999999999</v>
      </c>
      <c r="U25" s="2"/>
      <c r="V25" s="6">
        <f t="shared" si="5"/>
        <v>0</v>
      </c>
      <c r="W25" s="2"/>
      <c r="X25" s="7">
        <f t="shared" si="6"/>
        <v>1207.3000000000002</v>
      </c>
      <c r="Y25" s="2"/>
      <c r="Z25" s="6">
        <f t="shared" si="7"/>
        <v>0.94644173029585632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7">
        <v>413.26</v>
      </c>
      <c r="E26" s="2"/>
      <c r="F26" s="6">
        <f t="shared" si="0"/>
        <v>0</v>
      </c>
      <c r="G26" s="2"/>
      <c r="H26" s="7">
        <v>413.26</v>
      </c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1239.78</v>
      </c>
      <c r="Q26" s="2"/>
      <c r="R26" s="6">
        <f t="shared" si="4"/>
        <v>0</v>
      </c>
      <c r="S26" s="2"/>
      <c r="T26" s="7">
        <v>1239.78</v>
      </c>
      <c r="U26" s="2"/>
      <c r="V26" s="6">
        <f t="shared" si="5"/>
        <v>0</v>
      </c>
      <c r="W26" s="2"/>
      <c r="X26" s="7">
        <f t="shared" si="6"/>
        <v>0</v>
      </c>
      <c r="Y26" s="2"/>
      <c r="Z26" s="6">
        <f t="shared" si="7"/>
        <v>0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7">
        <v>31.27</v>
      </c>
      <c r="E27" s="2"/>
      <c r="F27" s="6">
        <f t="shared" si="0"/>
        <v>0</v>
      </c>
      <c r="G27" s="2"/>
      <c r="H27" s="7">
        <v>32</v>
      </c>
      <c r="I27" s="2"/>
      <c r="J27" s="6">
        <f t="shared" si="1"/>
        <v>0</v>
      </c>
      <c r="K27" s="2"/>
      <c r="L27" s="7">
        <f t="shared" si="2"/>
        <v>-0.73000000000000043</v>
      </c>
      <c r="M27" s="2"/>
      <c r="N27" s="6">
        <f t="shared" si="3"/>
        <v>-2.2812500000000013E-2</v>
      </c>
      <c r="O27" s="11"/>
      <c r="P27" s="7">
        <v>195.17</v>
      </c>
      <c r="Q27" s="2"/>
      <c r="R27" s="6">
        <f t="shared" si="4"/>
        <v>0</v>
      </c>
      <c r="S27" s="2"/>
      <c r="T27" s="7">
        <v>72</v>
      </c>
      <c r="U27" s="2"/>
      <c r="V27" s="6">
        <f t="shared" si="5"/>
        <v>0</v>
      </c>
      <c r="W27" s="2"/>
      <c r="X27" s="7">
        <f t="shared" si="6"/>
        <v>123.16999999999999</v>
      </c>
      <c r="Y27" s="2"/>
      <c r="Z27" s="6">
        <f t="shared" si="7"/>
        <v>1.7106944444444443</v>
      </c>
    </row>
    <row r="28" spans="1:26" s="27" customFormat="1" outlineLevel="1" collapsed="1" x14ac:dyDescent="0.25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7615.56</v>
      </c>
      <c r="E28" s="1"/>
      <c r="F28" s="5">
        <f t="shared" ref="F28:F36" si="8">IF(D$12=0,0,D28/D$12)</f>
        <v>0</v>
      </c>
      <c r="G28" s="1"/>
      <c r="H28" s="1">
        <f>SUM(OSRRefH22_1x_0)</f>
        <v>8959.5400000000009</v>
      </c>
      <c r="I28" s="1"/>
      <c r="J28" s="5">
        <f t="shared" ref="J28:J36" si="9">IF(H$12=0,0,H28/H$12)</f>
        <v>0</v>
      </c>
      <c r="K28" s="1"/>
      <c r="L28" s="1">
        <f t="shared" ref="L28:L36" si="10">+D28-H28</f>
        <v>-1343.9800000000005</v>
      </c>
      <c r="M28" s="1"/>
      <c r="N28" s="5">
        <f t="shared" ref="N28:N36" si="11">IF(H28=0,0,L28/H28)</f>
        <v>-0.15000546903077616</v>
      </c>
      <c r="O28" s="14"/>
      <c r="P28" s="1">
        <f>SUM(OSRRefP22_1x_0)</f>
        <v>27774.639999999999</v>
      </c>
      <c r="Q28" s="1"/>
      <c r="R28" s="5">
        <f t="shared" ref="R28:R36" si="12">IF(P$12=0,0,P28/P$12)</f>
        <v>0</v>
      </c>
      <c r="S28" s="1"/>
      <c r="T28" s="1">
        <f>SUM(OSRRefT22_1x_0)</f>
        <v>25534.799999999999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2239.84</v>
      </c>
      <c r="Y28" s="1"/>
      <c r="Z28" s="5">
        <f t="shared" ref="Z28:Z36" si="15">IF(T28=0,0,X28/T28)</f>
        <v>8.7717154628193683E-2</v>
      </c>
    </row>
    <row r="29" spans="1:26" s="24" customFormat="1" hidden="1" outlineLevel="2" x14ac:dyDescent="0.25">
      <c r="A29" s="28"/>
      <c r="B29" s="11" t="str">
        <f>CONCATENATE("          ", "6001", " - ", "ADMINISTRATIVE SALARIES")</f>
        <v xml:space="preserve">          6001 - ADMINISTRATIVE SALARIES</v>
      </c>
      <c r="C29" s="11"/>
      <c r="D29" s="7">
        <v>7615.56</v>
      </c>
      <c r="E29" s="2"/>
      <c r="F29" s="6">
        <f t="shared" si="8"/>
        <v>0</v>
      </c>
      <c r="G29" s="2"/>
      <c r="H29" s="7">
        <v>8959.5400000000009</v>
      </c>
      <c r="I29" s="2"/>
      <c r="J29" s="6">
        <f t="shared" si="9"/>
        <v>0</v>
      </c>
      <c r="K29" s="2"/>
      <c r="L29" s="7">
        <f t="shared" si="10"/>
        <v>-1343.9800000000005</v>
      </c>
      <c r="M29" s="2"/>
      <c r="N29" s="6">
        <f t="shared" si="11"/>
        <v>-0.15000546903077616</v>
      </c>
      <c r="O29" s="11"/>
      <c r="P29" s="7">
        <v>27774.639999999999</v>
      </c>
      <c r="Q29" s="2"/>
      <c r="R29" s="6">
        <f t="shared" si="12"/>
        <v>0</v>
      </c>
      <c r="S29" s="2"/>
      <c r="T29" s="7">
        <v>25534.799999999999</v>
      </c>
      <c r="U29" s="2"/>
      <c r="V29" s="6">
        <f t="shared" si="13"/>
        <v>0</v>
      </c>
      <c r="W29" s="2"/>
      <c r="X29" s="7">
        <f t="shared" si="14"/>
        <v>2239.84</v>
      </c>
      <c r="Y29" s="2"/>
      <c r="Z29" s="6">
        <f t="shared" si="15"/>
        <v>8.7717154628193683E-2</v>
      </c>
    </row>
    <row r="30" spans="1:26" s="27" customFormat="1" outlineLevel="1" collapsed="1" x14ac:dyDescent="0.25">
      <c r="A30" s="29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1.65</v>
      </c>
      <c r="I30" s="1"/>
      <c r="J30" s="5">
        <f t="shared" si="9"/>
        <v>0</v>
      </c>
      <c r="K30" s="1"/>
      <c r="L30" s="1">
        <f t="shared" si="10"/>
        <v>-1.65</v>
      </c>
      <c r="M30" s="1"/>
      <c r="N30" s="5">
        <f t="shared" si="11"/>
        <v>-1</v>
      </c>
      <c r="O30" s="14"/>
      <c r="P30" s="1">
        <f>SUM(OSRRefP22_2x_0)</f>
        <v>170</v>
      </c>
      <c r="Q30" s="1"/>
      <c r="R30" s="5">
        <f t="shared" si="12"/>
        <v>0</v>
      </c>
      <c r="S30" s="1"/>
      <c r="T30" s="1">
        <f>SUM(OSRRefT22_2x_0)</f>
        <v>1.65</v>
      </c>
      <c r="U30" s="1"/>
      <c r="V30" s="5">
        <f t="shared" si="13"/>
        <v>0</v>
      </c>
      <c r="W30" s="1"/>
      <c r="X30" s="1">
        <f t="shared" si="14"/>
        <v>168.35</v>
      </c>
      <c r="Y30" s="1"/>
      <c r="Z30" s="5">
        <f t="shared" si="15"/>
        <v>102.03030303030303</v>
      </c>
    </row>
    <row r="31" spans="1:26" s="24" customFormat="1" hidden="1" outlineLevel="2" x14ac:dyDescent="0.25">
      <c r="A31" s="28"/>
      <c r="B31" s="11" t="str">
        <f>CONCATENATE("          ", "6279", " - ", "GENERAL EXPENSE")</f>
        <v xml:space="preserve">          6279 - GENERAL EXPENSE</v>
      </c>
      <c r="C31" s="11"/>
      <c r="D31" s="7"/>
      <c r="E31" s="2"/>
      <c r="F31" s="6">
        <f t="shared" si="8"/>
        <v>0</v>
      </c>
      <c r="G31" s="2"/>
      <c r="H31" s="7">
        <v>1.65</v>
      </c>
      <c r="I31" s="2"/>
      <c r="J31" s="6">
        <f t="shared" si="9"/>
        <v>0</v>
      </c>
      <c r="K31" s="2"/>
      <c r="L31" s="7">
        <f t="shared" si="10"/>
        <v>-1.65</v>
      </c>
      <c r="M31" s="2"/>
      <c r="N31" s="6">
        <f t="shared" si="11"/>
        <v>-1</v>
      </c>
      <c r="O31" s="11"/>
      <c r="P31" s="7">
        <v>170</v>
      </c>
      <c r="Q31" s="2"/>
      <c r="R31" s="6">
        <f t="shared" si="12"/>
        <v>0</v>
      </c>
      <c r="S31" s="2"/>
      <c r="T31" s="7">
        <v>1.65</v>
      </c>
      <c r="U31" s="2"/>
      <c r="V31" s="6">
        <f t="shared" si="13"/>
        <v>0</v>
      </c>
      <c r="W31" s="2"/>
      <c r="X31" s="7">
        <f t="shared" si="14"/>
        <v>168.35</v>
      </c>
      <c r="Y31" s="2"/>
      <c r="Z31" s="6">
        <f t="shared" si="15"/>
        <v>102.03030303030303</v>
      </c>
    </row>
    <row r="32" spans="1:26" s="27" customFormat="1" outlineLevel="1" collapsed="1" x14ac:dyDescent="0.25">
      <c r="A32" s="29"/>
      <c r="B32" s="14" t="str">
        <f>CONCATENATE("     ","Repair and Maintenance                            ")</f>
        <v xml:space="preserve">     Repair and Maintenance                            </v>
      </c>
      <c r="C32" s="14"/>
      <c r="D32" s="1">
        <f>SUM(OSRRefD22_3x_0)</f>
        <v>3500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3500</v>
      </c>
      <c r="M32" s="1"/>
      <c r="N32" s="5">
        <f t="shared" si="11"/>
        <v>0</v>
      </c>
      <c r="O32" s="14"/>
      <c r="P32" s="1">
        <f>SUM(OSRRefP22_3x_0)</f>
        <v>10500</v>
      </c>
      <c r="Q32" s="1"/>
      <c r="R32" s="5">
        <f t="shared" si="12"/>
        <v>0</v>
      </c>
      <c r="S32" s="1"/>
      <c r="T32" s="1">
        <f>SUM(OSRRefT22_3x_0)</f>
        <v>0</v>
      </c>
      <c r="U32" s="1"/>
      <c r="V32" s="5">
        <f t="shared" si="13"/>
        <v>0</v>
      </c>
      <c r="W32" s="1"/>
      <c r="X32" s="1">
        <f t="shared" si="14"/>
        <v>10500</v>
      </c>
      <c r="Y32" s="1"/>
      <c r="Z32" s="5">
        <f t="shared" si="15"/>
        <v>0</v>
      </c>
    </row>
    <row r="33" spans="1:26" s="24" customFormat="1" hidden="1" outlineLevel="2" x14ac:dyDescent="0.25">
      <c r="A33" s="28"/>
      <c r="B33" s="11" t="str">
        <f>CONCATENATE("          ", "6371", " - ", "COMPUTER SOFTWARE MAINTENANCE")</f>
        <v xml:space="preserve">          6371 - COMPUTER SOFTWARE MAINTENANCE</v>
      </c>
      <c r="C33" s="11"/>
      <c r="D33" s="7">
        <v>3500</v>
      </c>
      <c r="E33" s="2"/>
      <c r="F33" s="6">
        <f t="shared" si="8"/>
        <v>0</v>
      </c>
      <c r="G33" s="2"/>
      <c r="H33" s="7"/>
      <c r="I33" s="2"/>
      <c r="J33" s="6">
        <f t="shared" si="9"/>
        <v>0</v>
      </c>
      <c r="K33" s="2"/>
      <c r="L33" s="7">
        <f t="shared" si="10"/>
        <v>3500</v>
      </c>
      <c r="M33" s="2"/>
      <c r="N33" s="6">
        <f t="shared" si="11"/>
        <v>0</v>
      </c>
      <c r="O33" s="11"/>
      <c r="P33" s="7">
        <v>10500</v>
      </c>
      <c r="Q33" s="2"/>
      <c r="R33" s="6">
        <f t="shared" si="12"/>
        <v>0</v>
      </c>
      <c r="S33" s="2"/>
      <c r="T33" s="7"/>
      <c r="U33" s="2"/>
      <c r="V33" s="6">
        <f t="shared" si="13"/>
        <v>0</v>
      </c>
      <c r="W33" s="2"/>
      <c r="X33" s="7">
        <f t="shared" si="14"/>
        <v>10500</v>
      </c>
      <c r="Y33" s="2"/>
      <c r="Z33" s="6">
        <f t="shared" si="15"/>
        <v>0</v>
      </c>
    </row>
    <row r="34" spans="1:26" s="27" customFormat="1" outlineLevel="1" collapsed="1" x14ac:dyDescent="0.25">
      <c r="A34" s="29"/>
      <c r="B34" s="14" t="str">
        <f>CONCATENATE("     ","Supplies                                          ")</f>
        <v xml:space="preserve">     Supplies                                          </v>
      </c>
      <c r="C34" s="14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0</v>
      </c>
      <c r="M34" s="1"/>
      <c r="N34" s="5">
        <f t="shared" si="11"/>
        <v>0</v>
      </c>
      <c r="O34" s="14"/>
      <c r="P34" s="1">
        <f>SUM(OSRRefP22_4x_0)</f>
        <v>44.53</v>
      </c>
      <c r="Q34" s="1"/>
      <c r="R34" s="5">
        <f t="shared" si="12"/>
        <v>0</v>
      </c>
      <c r="S34" s="1"/>
      <c r="T34" s="1">
        <f>SUM(OSRRefT22_4x_0)</f>
        <v>4939.2</v>
      </c>
      <c r="U34" s="1"/>
      <c r="V34" s="5">
        <f t="shared" si="13"/>
        <v>0</v>
      </c>
      <c r="W34" s="1"/>
      <c r="X34" s="1">
        <f t="shared" si="14"/>
        <v>-4894.67</v>
      </c>
      <c r="Y34" s="1"/>
      <c r="Z34" s="5">
        <f t="shared" si="15"/>
        <v>-0.99098436993845163</v>
      </c>
    </row>
    <row r="35" spans="1:26" s="24" customFormat="1" hidden="1" outlineLevel="2" x14ac:dyDescent="0.25">
      <c r="A35" s="28"/>
      <c r="B35" s="11" t="str">
        <f>CONCATENATE("          ", "6235", " - ", "COVID-19 EXPENSES")</f>
        <v xml:space="preserve">          6235 - COVID-19 EXPENSES</v>
      </c>
      <c r="C35" s="11"/>
      <c r="D35" s="7"/>
      <c r="E35" s="2"/>
      <c r="F35" s="6">
        <f t="shared" si="8"/>
        <v>0</v>
      </c>
      <c r="G35" s="2"/>
      <c r="H35" s="7"/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4939.2</v>
      </c>
      <c r="U35" s="2"/>
      <c r="V35" s="6">
        <f t="shared" si="13"/>
        <v>0</v>
      </c>
      <c r="W35" s="2"/>
      <c r="X35" s="7">
        <f t="shared" si="14"/>
        <v>-4939.2</v>
      </c>
      <c r="Y35" s="2"/>
      <c r="Z35" s="6">
        <f t="shared" si="15"/>
        <v>-1</v>
      </c>
    </row>
    <row r="36" spans="1:26" s="24" customFormat="1" hidden="1" outlineLevel="2" x14ac:dyDescent="0.25">
      <c r="A36" s="28"/>
      <c r="B36" s="11" t="str">
        <f>CONCATENATE("          ", "6241", " - ", "OFFICE EXPENSE")</f>
        <v xml:space="preserve">          6241 - OFFICE EXPENSE</v>
      </c>
      <c r="C36" s="11"/>
      <c r="D36" s="7"/>
      <c r="E36" s="2"/>
      <c r="F36" s="6">
        <f t="shared" si="8"/>
        <v>0</v>
      </c>
      <c r="G36" s="2"/>
      <c r="H36" s="7"/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44.53</v>
      </c>
      <c r="Q36" s="2"/>
      <c r="R36" s="6">
        <f t="shared" si="12"/>
        <v>0</v>
      </c>
      <c r="S36" s="2"/>
      <c r="T36" s="7"/>
      <c r="U36" s="2"/>
      <c r="V36" s="6">
        <f t="shared" si="13"/>
        <v>0</v>
      </c>
      <c r="W36" s="2"/>
      <c r="X36" s="7">
        <f t="shared" si="14"/>
        <v>44.53</v>
      </c>
      <c r="Y36" s="2"/>
      <c r="Z36" s="6">
        <f t="shared" si="15"/>
        <v>0</v>
      </c>
    </row>
    <row r="37" spans="1:26" s="27" customFormat="1" outlineLevel="1" collapsed="1" x14ac:dyDescent="0.25">
      <c r="A37" s="29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SUM(OSRRefD22_5x_0)</f>
        <v>75</v>
      </c>
      <c r="E37" s="1"/>
      <c r="F37" s="5">
        <f t="shared" ref="F37:F40" si="16">IF(D$12=0,0,D37/D$12)</f>
        <v>0</v>
      </c>
      <c r="G37" s="1"/>
      <c r="H37" s="1">
        <f>SUM(OSRRefH22_5x_0)</f>
        <v>150</v>
      </c>
      <c r="I37" s="1"/>
      <c r="J37" s="5">
        <f t="shared" ref="J37:J40" si="17">IF(H$12=0,0,H37/H$12)</f>
        <v>0</v>
      </c>
      <c r="K37" s="1"/>
      <c r="L37" s="1">
        <f t="shared" ref="L37:L40" si="18">+D37-H37</f>
        <v>-75</v>
      </c>
      <c r="M37" s="1"/>
      <c r="N37" s="5">
        <f t="shared" ref="N37:N40" si="19">IF(H37=0,0,L37/H37)</f>
        <v>-0.5</v>
      </c>
      <c r="O37" s="14"/>
      <c r="P37" s="1">
        <f>SUM(OSRRefP22_5x_0)</f>
        <v>208</v>
      </c>
      <c r="Q37" s="1"/>
      <c r="R37" s="5">
        <f t="shared" ref="R37:R40" si="20">IF(P$12=0,0,P37/P$12)</f>
        <v>0</v>
      </c>
      <c r="S37" s="1"/>
      <c r="T37" s="1">
        <f>SUM(OSRRefT22_5x_0)</f>
        <v>250</v>
      </c>
      <c r="U37" s="1"/>
      <c r="V37" s="5">
        <f t="shared" ref="V37:V40" si="21">IF(T$12=0,0,T37/T$12)</f>
        <v>0</v>
      </c>
      <c r="W37" s="1"/>
      <c r="X37" s="1">
        <f t="shared" ref="X37:X40" si="22">+P37-T37</f>
        <v>-42</v>
      </c>
      <c r="Y37" s="1"/>
      <c r="Z37" s="5">
        <f t="shared" ref="Z37:Z40" si="23">IF(T37=0,0,X37/T37)</f>
        <v>-0.16800000000000001</v>
      </c>
    </row>
    <row r="38" spans="1:26" s="24" customFormat="1" hidden="1" outlineLevel="2" x14ac:dyDescent="0.25">
      <c r="A38" s="28"/>
      <c r="B38" s="11" t="str">
        <f>CONCATENATE("          ", "6309", " - ", "TELEPHONE")</f>
        <v xml:space="preserve">          6309 - TELEPHONE</v>
      </c>
      <c r="C38" s="11"/>
      <c r="D38" s="7">
        <v>75</v>
      </c>
      <c r="E38" s="2"/>
      <c r="F38" s="6">
        <f t="shared" si="16"/>
        <v>0</v>
      </c>
      <c r="G38" s="2"/>
      <c r="H38" s="7">
        <v>150</v>
      </c>
      <c r="I38" s="2"/>
      <c r="J38" s="6">
        <f t="shared" si="17"/>
        <v>0</v>
      </c>
      <c r="K38" s="2"/>
      <c r="L38" s="7">
        <f t="shared" si="18"/>
        <v>-75</v>
      </c>
      <c r="M38" s="2"/>
      <c r="N38" s="6">
        <f t="shared" si="19"/>
        <v>-0.5</v>
      </c>
      <c r="O38" s="11"/>
      <c r="P38" s="7">
        <v>208</v>
      </c>
      <c r="Q38" s="2"/>
      <c r="R38" s="6">
        <f t="shared" si="20"/>
        <v>0</v>
      </c>
      <c r="S38" s="2"/>
      <c r="T38" s="7">
        <v>250</v>
      </c>
      <c r="U38" s="2"/>
      <c r="V38" s="6">
        <f t="shared" si="21"/>
        <v>0</v>
      </c>
      <c r="W38" s="2"/>
      <c r="X38" s="7">
        <f t="shared" si="22"/>
        <v>-42</v>
      </c>
      <c r="Y38" s="2"/>
      <c r="Z38" s="6">
        <f t="shared" si="23"/>
        <v>-0.16800000000000001</v>
      </c>
    </row>
    <row r="39" spans="1:26" s="27" customFormat="1" outlineLevel="1" collapsed="1" x14ac:dyDescent="0.25">
      <c r="A39" s="29"/>
      <c r="B39" s="14" t="str">
        <f>CONCATENATE("     ","Travel                                            ")</f>
        <v xml:space="preserve">     Travel                                            </v>
      </c>
      <c r="C39" s="14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4"/>
      <c r="P39" s="1">
        <f>SUM(OSRRefP22_6x_0)</f>
        <v>595</v>
      </c>
      <c r="Q39" s="1"/>
      <c r="R39" s="5">
        <f t="shared" si="20"/>
        <v>0</v>
      </c>
      <c r="S39" s="1"/>
      <c r="T39" s="1">
        <f>SUM(OSRRefT22_6x_0)</f>
        <v>0</v>
      </c>
      <c r="U39" s="1"/>
      <c r="V39" s="5">
        <f t="shared" si="21"/>
        <v>0</v>
      </c>
      <c r="W39" s="1"/>
      <c r="X39" s="1">
        <f t="shared" si="22"/>
        <v>595</v>
      </c>
      <c r="Y39" s="1"/>
      <c r="Z39" s="5">
        <f t="shared" si="23"/>
        <v>0</v>
      </c>
    </row>
    <row r="40" spans="1:26" s="24" customFormat="1" hidden="1" outlineLevel="2" x14ac:dyDescent="0.25">
      <c r="A40" s="28"/>
      <c r="B40" s="11" t="str">
        <f>CONCATENATE("          ", "6292", " - ", "TRAVEL/CONFERENCE")</f>
        <v xml:space="preserve">          6292 - TRAVEL/CONFERENCE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>
        <v>595</v>
      </c>
      <c r="Q40" s="2"/>
      <c r="R40" s="6">
        <f t="shared" si="20"/>
        <v>0</v>
      </c>
      <c r="S40" s="2"/>
      <c r="T40" s="7"/>
      <c r="U40" s="2"/>
      <c r="V40" s="6">
        <f t="shared" si="21"/>
        <v>0</v>
      </c>
      <c r="W40" s="2"/>
      <c r="X40" s="7">
        <f t="shared" si="22"/>
        <v>595</v>
      </c>
      <c r="Y40" s="2"/>
      <c r="Z40" s="6">
        <f t="shared" si="23"/>
        <v>0</v>
      </c>
    </row>
    <row r="41" spans="1:26" s="54" customFormat="1" x14ac:dyDescent="0.25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25">
      <c r="A42" s="10"/>
      <c r="B42" s="26" t="s">
        <v>292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25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25">
      <c r="A44" s="10"/>
      <c r="B44" s="25" t="s">
        <v>276</v>
      </c>
      <c r="C44" s="25"/>
      <c r="D44" s="21">
        <f>+D16-D18+D42</f>
        <v>-16881.870000000003</v>
      </c>
      <c r="E44" s="13"/>
      <c r="F44" s="22">
        <f>IF(D$12=0,0,D44/D$12)</f>
        <v>0</v>
      </c>
      <c r="G44" s="13"/>
      <c r="H44" s="21">
        <f>+H16-H18+H42</f>
        <v>-14907.630000000001</v>
      </c>
      <c r="I44" s="13"/>
      <c r="J44" s="22">
        <f>IF(H$12=0,0,H44/H$12)</f>
        <v>0</v>
      </c>
      <c r="K44" s="16"/>
      <c r="L44" s="21">
        <f>+D44-H44</f>
        <v>-1974.2400000000016</v>
      </c>
      <c r="M44" s="16"/>
      <c r="N44" s="22">
        <f>IF(H44=0,0,L44/H44)</f>
        <v>0.13243151325864685</v>
      </c>
      <c r="O44" s="26"/>
      <c r="P44" s="21">
        <f>+P16-P18+P42</f>
        <v>-56436.33</v>
      </c>
      <c r="Q44" s="13"/>
      <c r="R44" s="22">
        <f>IF(P$12=0,0,P44/P$12)</f>
        <v>0</v>
      </c>
      <c r="S44" s="13"/>
      <c r="T44" s="21">
        <f>+T16-T18+T42</f>
        <v>-47229.96</v>
      </c>
      <c r="U44" s="13"/>
      <c r="V44" s="22">
        <f>IF(T$12=0,0,T44/T$12)</f>
        <v>0</v>
      </c>
      <c r="W44" s="16"/>
      <c r="X44" s="21">
        <f>+P44-T44</f>
        <v>-9206.3700000000026</v>
      </c>
      <c r="Y44" s="16"/>
      <c r="Z44" s="22">
        <f>IF(T44=0,0,X44/T44)</f>
        <v>0.19492648310521549</v>
      </c>
    </row>
    <row r="45" spans="1:26" x14ac:dyDescent="0.25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51"/>
      <c r="B46" s="10" t="s">
        <v>127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.75" thickBot="1" x14ac:dyDescent="0.3">
      <c r="A48" s="10"/>
      <c r="B48" s="25" t="s">
        <v>125</v>
      </c>
      <c r="C48" s="25"/>
      <c r="D48" s="33">
        <f>+D44-D46</f>
        <v>-16881.870000000003</v>
      </c>
      <c r="E48" s="13"/>
      <c r="F48" s="35">
        <f>IF(D$12=0,0,D48/D$12)</f>
        <v>0</v>
      </c>
      <c r="G48" s="13"/>
      <c r="H48" s="33">
        <f>+H44-H46</f>
        <v>-14907.630000000001</v>
      </c>
      <c r="I48" s="13"/>
      <c r="J48" s="35">
        <f>IF(H$12=0,0,H48/H$12)</f>
        <v>0</v>
      </c>
      <c r="K48" s="16"/>
      <c r="L48" s="33">
        <f>D48-H48</f>
        <v>-1974.2400000000016</v>
      </c>
      <c r="M48" s="16"/>
      <c r="N48" s="35">
        <f>IF(H48=0,0,L48/H48)</f>
        <v>0.13243151325864685</v>
      </c>
      <c r="O48" s="26"/>
      <c r="P48" s="33">
        <f>+P44-P46</f>
        <v>-56436.33</v>
      </c>
      <c r="Q48" s="13"/>
      <c r="R48" s="35">
        <f>IF(P$12=0,0,P48/P$12)</f>
        <v>0</v>
      </c>
      <c r="S48" s="13"/>
      <c r="T48" s="33">
        <f>+T44-T46</f>
        <v>-47229.96</v>
      </c>
      <c r="U48" s="13"/>
      <c r="V48" s="35">
        <f>IF(T$12=0,0,T48/T$12)</f>
        <v>0</v>
      </c>
      <c r="W48" s="16"/>
      <c r="X48" s="33">
        <f>P48-T48</f>
        <v>-9206.3700000000026</v>
      </c>
      <c r="Y48" s="16"/>
      <c r="Z48" s="35">
        <f>IF(T48=0,0,X48/T48)</f>
        <v>0.19492648310521549</v>
      </c>
    </row>
    <row r="49" spans="1:26" ht="15.75" thickTop="1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x14ac:dyDescent="0.25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.75" thickBot="1" x14ac:dyDescent="0.3">
      <c r="A51" s="10"/>
      <c r="B51" s="25" t="s">
        <v>293</v>
      </c>
      <c r="C51" s="25"/>
      <c r="D51" s="31">
        <f>SUM(D48:D50)</f>
        <v>-16881.870000000003</v>
      </c>
      <c r="E51" s="13"/>
      <c r="F51" s="32">
        <f>IF(D$12=0,0,D51/D$12)</f>
        <v>0</v>
      </c>
      <c r="G51" s="13"/>
      <c r="H51" s="31">
        <f>SUM(H48:H50)</f>
        <v>-14907.630000000001</v>
      </c>
      <c r="I51" s="13"/>
      <c r="J51" s="32">
        <f>IF(H$12=0,0,H51/H$12)</f>
        <v>0</v>
      </c>
      <c r="K51" s="16"/>
      <c r="L51" s="31">
        <f>+D51-H51</f>
        <v>-1974.2400000000016</v>
      </c>
      <c r="M51" s="16"/>
      <c r="N51" s="32">
        <f>IF(H51=0,0,L51/H51)</f>
        <v>0.13243151325864685</v>
      </c>
      <c r="O51" s="26"/>
      <c r="P51" s="31">
        <f>SUM(P48:P50)</f>
        <v>-56436.33</v>
      </c>
      <c r="Q51" s="13"/>
      <c r="R51" s="32">
        <f>IF(P$12=0,0,P51/P$12)</f>
        <v>0</v>
      </c>
      <c r="S51" s="13"/>
      <c r="T51" s="31">
        <f>SUM(T48:T50)</f>
        <v>-47229.96</v>
      </c>
      <c r="U51" s="13"/>
      <c r="V51" s="32">
        <f>IF(T$12=0,0,T51/T$12)</f>
        <v>0</v>
      </c>
      <c r="W51" s="16"/>
      <c r="X51" s="31">
        <f>+P51-T51</f>
        <v>-9206.3700000000026</v>
      </c>
      <c r="Y51" s="16"/>
      <c r="Z51" s="32">
        <f>IF(T51=0,0,X51/T51)</f>
        <v>0.19492648310521549</v>
      </c>
    </row>
    <row r="52" spans="1:26" ht="15.75" thickTop="1" x14ac:dyDescent="0.25">
      <c r="A52" s="9"/>
      <c r="C52" s="9"/>
      <c r="D52" s="18"/>
      <c r="E52" s="18"/>
      <c r="G52" s="18"/>
      <c r="H52" s="18"/>
      <c r="I52" s="18"/>
      <c r="J52" s="42"/>
      <c r="K52" s="18"/>
      <c r="L52" s="18"/>
      <c r="M52" s="18"/>
      <c r="P52" s="18"/>
      <c r="Q52" s="18"/>
      <c r="R52" s="42"/>
      <c r="S52" s="18"/>
      <c r="T52" s="18"/>
      <c r="U52" s="18"/>
      <c r="V52" s="42"/>
      <c r="W52" s="18"/>
      <c r="X52" s="18"/>
    </row>
    <row r="53" spans="1:26" x14ac:dyDescent="0.25">
      <c r="A53" s="9"/>
      <c r="B53" s="58">
        <v>44481.985668518515</v>
      </c>
      <c r="D53" s="18"/>
      <c r="E53" s="18"/>
      <c r="G53" s="18"/>
      <c r="H53" s="18"/>
      <c r="I53" s="18"/>
      <c r="J53" s="42"/>
      <c r="K53" s="18"/>
      <c r="L53" s="18"/>
      <c r="M53" s="18"/>
      <c r="P53" s="18"/>
      <c r="Q53" s="18"/>
      <c r="R53" s="42"/>
      <c r="S53" s="18"/>
      <c r="T53" s="18"/>
      <c r="U53" s="18"/>
      <c r="V53" s="42"/>
      <c r="W53" s="18"/>
      <c r="X53" s="18"/>
    </row>
    <row r="54" spans="1:26" x14ac:dyDescent="0.25">
      <c r="A54" s="9"/>
      <c r="B54" s="53" t="s">
        <v>56</v>
      </c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A55" s="9"/>
      <c r="B55" s="52"/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  <row r="56" spans="1:26" x14ac:dyDescent="0.25"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","433", " - ", "Hillside Dining Hall")</f>
        <v>Department 433 - Hillside Dining Hall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578043.58000000007</v>
      </c>
      <c r="E12" s="4"/>
      <c r="F12" s="12"/>
      <c r="G12" s="4"/>
      <c r="H12" s="4">
        <f>SUM(OSRRefH13x_0)</f>
        <v>25410.25</v>
      </c>
      <c r="I12" s="4"/>
      <c r="J12" s="12"/>
      <c r="K12" s="4"/>
      <c r="L12" s="4">
        <f t="shared" ref="L12:L15" si="0">+D12-H12</f>
        <v>552633.33000000007</v>
      </c>
      <c r="M12" s="4"/>
      <c r="N12" s="12">
        <f t="shared" ref="N12:N15" si="1">IF(H12=0,0,L12/H12)</f>
        <v>21.748441278617882</v>
      </c>
      <c r="O12" s="10"/>
      <c r="P12" s="4">
        <f>SUM(OSRRefP13x_0)</f>
        <v>788486.19</v>
      </c>
      <c r="Q12" s="4"/>
      <c r="R12" s="12"/>
      <c r="S12" s="4"/>
      <c r="T12" s="4">
        <f>SUM(OSRRefT13x_0)</f>
        <v>47895.17</v>
      </c>
      <c r="U12" s="4"/>
      <c r="V12" s="12"/>
      <c r="W12" s="4"/>
      <c r="X12" s="4">
        <f t="shared" ref="X12:X15" si="2">+P12-T12</f>
        <v>740591.0199999999</v>
      </c>
      <c r="Y12" s="4"/>
      <c r="Z12" s="12">
        <f t="shared" ref="Z12:Z15" si="3">IF(T12=0,0,X12/T12)</f>
        <v>15.46274958414387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--570.15</f>
        <v>570.15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570.15</v>
      </c>
      <c r="M13" s="2"/>
      <c r="N13" s="19">
        <f t="shared" si="1"/>
        <v>0</v>
      </c>
      <c r="O13" s="11"/>
      <c r="P13" s="2">
        <f>--873.46</f>
        <v>873.46</v>
      </c>
      <c r="Q13" s="2"/>
      <c r="R13" s="19"/>
      <c r="S13" s="2"/>
      <c r="T13" s="2">
        <f>--217.65</f>
        <v>217.65</v>
      </c>
      <c r="U13" s="2"/>
      <c r="V13" s="19"/>
      <c r="W13" s="2"/>
      <c r="X13" s="2">
        <f t="shared" si="2"/>
        <v>655.81000000000006</v>
      </c>
      <c r="Y13" s="2"/>
      <c r="Z13" s="19">
        <f t="shared" si="3"/>
        <v>3.013140362968068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--568839.88</f>
        <v>568839.88</v>
      </c>
      <c r="E14" s="2"/>
      <c r="F14" s="19"/>
      <c r="G14" s="2"/>
      <c r="H14" s="2">
        <f>--25090.25</f>
        <v>25090.25</v>
      </c>
      <c r="I14" s="2"/>
      <c r="J14" s="19"/>
      <c r="K14" s="2"/>
      <c r="L14" s="2">
        <f t="shared" si="0"/>
        <v>543749.63</v>
      </c>
      <c r="M14" s="2"/>
      <c r="N14" s="19">
        <f t="shared" si="1"/>
        <v>21.671750181843546</v>
      </c>
      <c r="O14" s="11"/>
      <c r="P14" s="2">
        <f>--764862.09</f>
        <v>764862.09</v>
      </c>
      <c r="Q14" s="2"/>
      <c r="R14" s="19"/>
      <c r="S14" s="2"/>
      <c r="T14" s="2">
        <f>--28190.25</f>
        <v>28190.25</v>
      </c>
      <c r="U14" s="2"/>
      <c r="V14" s="19"/>
      <c r="W14" s="2"/>
      <c r="X14" s="2">
        <f t="shared" si="2"/>
        <v>736671.84</v>
      </c>
      <c r="Y14" s="2"/>
      <c r="Z14" s="19">
        <f t="shared" si="3"/>
        <v>26.132149945459865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--8633.55</f>
        <v>8633.5499999999993</v>
      </c>
      <c r="E15" s="2"/>
      <c r="F15" s="19"/>
      <c r="G15" s="2"/>
      <c r="H15" s="2">
        <f>--320</f>
        <v>320</v>
      </c>
      <c r="I15" s="2"/>
      <c r="J15" s="19"/>
      <c r="K15" s="2"/>
      <c r="L15" s="2">
        <f t="shared" si="0"/>
        <v>8313.5499999999993</v>
      </c>
      <c r="M15" s="2"/>
      <c r="N15" s="19">
        <f t="shared" si="1"/>
        <v>25.979843749999997</v>
      </c>
      <c r="O15" s="11"/>
      <c r="P15" s="2">
        <f>--22750.64</f>
        <v>22750.639999999999</v>
      </c>
      <c r="Q15" s="2"/>
      <c r="R15" s="19"/>
      <c r="S15" s="2"/>
      <c r="T15" s="2">
        <f>--19487.27</f>
        <v>19487.27</v>
      </c>
      <c r="U15" s="2"/>
      <c r="V15" s="19"/>
      <c r="W15" s="2"/>
      <c r="X15" s="2">
        <f t="shared" si="2"/>
        <v>3263.369999999999</v>
      </c>
      <c r="Y15" s="2"/>
      <c r="Z15" s="19">
        <f t="shared" si="3"/>
        <v>0.16746163007953391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256</v>
      </c>
      <c r="C17" s="10"/>
      <c r="D17" s="4">
        <f>SUM(OSRRefD16x_0)</f>
        <v>137436.65</v>
      </c>
      <c r="E17" s="4"/>
      <c r="F17" s="12">
        <f t="shared" ref="F17:F19" si="4">IF(D$12=0,0,D17/D$12)</f>
        <v>0.23776174453836157</v>
      </c>
      <c r="G17" s="4"/>
      <c r="H17" s="4">
        <f>SUM(OSRRefH16x_0)</f>
        <v>0</v>
      </c>
      <c r="I17" s="4"/>
      <c r="J17" s="12">
        <f t="shared" ref="J17:J19" si="5">IF(H$12=0,0,H17/H$12)</f>
        <v>0</v>
      </c>
      <c r="K17" s="4"/>
      <c r="L17" s="4">
        <f t="shared" ref="L17:L19" si="6">+D17-H17</f>
        <v>137436.65</v>
      </c>
      <c r="M17" s="4"/>
      <c r="N17" s="12">
        <f t="shared" ref="N17:N19" si="7">IF(H17=0,0,L17/H17)</f>
        <v>0</v>
      </c>
      <c r="O17" s="10"/>
      <c r="P17" s="4">
        <f>SUM(OSRRefP16x_0)</f>
        <v>186868.88</v>
      </c>
      <c r="Q17" s="4"/>
      <c r="R17" s="12">
        <f t="shared" ref="R17:R19" si="8">IF(P$12=0,0,P17/P$12)</f>
        <v>0.23699702337208978</v>
      </c>
      <c r="S17" s="4"/>
      <c r="T17" s="4">
        <f>SUM(OSRRefT16x_0)</f>
        <v>25116.92</v>
      </c>
      <c r="U17" s="4"/>
      <c r="V17" s="12">
        <f t="shared" ref="V17:V19" si="9">IF(T$12=0,0,T17/T$12)</f>
        <v>0.52441446600982933</v>
      </c>
      <c r="W17" s="4"/>
      <c r="X17" s="4">
        <f t="shared" ref="X17:X19" si="10">+P17-T17</f>
        <v>161751.96000000002</v>
      </c>
      <c r="Y17" s="4"/>
      <c r="Z17" s="12">
        <f t="shared" ref="Z17:Z19" si="11">IF(T17=0,0,X17/T17)</f>
        <v>6.4399599950949415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140691.65</v>
      </c>
      <c r="E18" s="2"/>
      <c r="F18" s="19">
        <f t="shared" si="4"/>
        <v>0.24339280785715148</v>
      </c>
      <c r="G18" s="2"/>
      <c r="H18" s="2"/>
      <c r="I18" s="2"/>
      <c r="J18" s="19">
        <f t="shared" si="5"/>
        <v>0</v>
      </c>
      <c r="K18" s="2"/>
      <c r="L18" s="2">
        <f t="shared" si="6"/>
        <v>140691.65</v>
      </c>
      <c r="M18" s="2"/>
      <c r="N18" s="19">
        <f t="shared" si="7"/>
        <v>0</v>
      </c>
      <c r="O18" s="11"/>
      <c r="P18" s="2">
        <v>211361.88</v>
      </c>
      <c r="Q18" s="2"/>
      <c r="R18" s="19">
        <f t="shared" si="8"/>
        <v>0.26806034484890601</v>
      </c>
      <c r="S18" s="2"/>
      <c r="T18" s="2">
        <v>14204.92</v>
      </c>
      <c r="U18" s="2"/>
      <c r="V18" s="19">
        <f t="shared" si="9"/>
        <v>0.29658355946956655</v>
      </c>
      <c r="W18" s="2"/>
      <c r="X18" s="2">
        <f t="shared" si="10"/>
        <v>197156.96</v>
      </c>
      <c r="Y18" s="2"/>
      <c r="Z18" s="19">
        <f t="shared" si="11"/>
        <v>13.87948400976563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-3255</v>
      </c>
      <c r="E19" s="2"/>
      <c r="F19" s="19">
        <f t="shared" si="4"/>
        <v>-5.6310633187899081E-3</v>
      </c>
      <c r="G19" s="2"/>
      <c r="H19" s="2"/>
      <c r="I19" s="2"/>
      <c r="J19" s="19">
        <f t="shared" si="5"/>
        <v>0</v>
      </c>
      <c r="K19" s="2"/>
      <c r="L19" s="2">
        <f t="shared" si="6"/>
        <v>-3255</v>
      </c>
      <c r="M19" s="2"/>
      <c r="N19" s="19">
        <f t="shared" si="7"/>
        <v>0</v>
      </c>
      <c r="O19" s="11"/>
      <c r="P19" s="2">
        <v>-24493</v>
      </c>
      <c r="Q19" s="2"/>
      <c r="R19" s="19">
        <f t="shared" si="8"/>
        <v>-3.106332147681623E-2</v>
      </c>
      <c r="S19" s="2"/>
      <c r="T19" s="2">
        <v>10912</v>
      </c>
      <c r="U19" s="2"/>
      <c r="V19" s="19">
        <f t="shared" si="9"/>
        <v>0.22783090654026283</v>
      </c>
      <c r="W19" s="2"/>
      <c r="X19" s="2">
        <f t="shared" si="10"/>
        <v>-35405</v>
      </c>
      <c r="Y19" s="2"/>
      <c r="Z19" s="19">
        <f t="shared" si="11"/>
        <v>-3.2445931085043989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107</v>
      </c>
      <c r="C21" s="25"/>
      <c r="D21" s="21">
        <f>D12-D17</f>
        <v>440606.93000000005</v>
      </c>
      <c r="E21" s="13"/>
      <c r="F21" s="22">
        <f>IF(D$12=0,0,D21/D$12)</f>
        <v>0.76223825546163837</v>
      </c>
      <c r="G21" s="13"/>
      <c r="H21" s="21">
        <f>H12-H17</f>
        <v>25410.25</v>
      </c>
      <c r="I21" s="13"/>
      <c r="J21" s="22">
        <f>IF(H$12=0,0,H21/H$12)</f>
        <v>1</v>
      </c>
      <c r="K21" s="16"/>
      <c r="L21" s="21">
        <f>+D21-H21</f>
        <v>415196.68000000005</v>
      </c>
      <c r="M21" s="16"/>
      <c r="N21" s="22">
        <f>IF(H21=0,0,L21/H21)</f>
        <v>16.339732194685219</v>
      </c>
      <c r="O21" s="26"/>
      <c r="P21" s="21">
        <f>P12-P17</f>
        <v>601617.30999999994</v>
      </c>
      <c r="Q21" s="13"/>
      <c r="R21" s="22">
        <f>IF(P$12=0,0,P21/P$12)</f>
        <v>0.76300297662791028</v>
      </c>
      <c r="S21" s="13"/>
      <c r="T21" s="21">
        <f>T12-T17</f>
        <v>22778.25</v>
      </c>
      <c r="U21" s="13"/>
      <c r="V21" s="22">
        <f>IF(T$12=0,0,T21/T$12)</f>
        <v>0.47558553399017062</v>
      </c>
      <c r="W21" s="16"/>
      <c r="X21" s="21">
        <f>+P21-T21</f>
        <v>578839.05999999994</v>
      </c>
      <c r="Y21" s="16"/>
      <c r="Z21" s="22">
        <f>IF(T21=0,0,X21/T21)</f>
        <v>25.411919704103692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294</v>
      </c>
      <c r="C23" s="10"/>
      <c r="D23" s="20">
        <f>SUM(OSRRefD22x_0)</f>
        <v>159024.91999999995</v>
      </c>
      <c r="E23" s="20"/>
      <c r="F23" s="30">
        <f t="shared" ref="F23:F33" si="12">IF(D$12=0,0,D23/D$12)</f>
        <v>0.27510887673901668</v>
      </c>
      <c r="G23" s="20"/>
      <c r="H23" s="20">
        <f>SUM(OSRRefH22x_0)</f>
        <v>51893.159999999989</v>
      </c>
      <c r="I23" s="20"/>
      <c r="J23" s="30">
        <f t="shared" ref="J23:J33" si="13">IF(H$12=0,0,H23/H$12)</f>
        <v>2.0422136736159615</v>
      </c>
      <c r="K23" s="4"/>
      <c r="L23" s="20">
        <f t="shared" ref="L23:L33" si="14">+D23-H23</f>
        <v>107131.75999999997</v>
      </c>
      <c r="M23" s="4"/>
      <c r="N23" s="30">
        <f t="shared" ref="N23:N33" si="15">IF(H23=0,0,L23/H23)</f>
        <v>2.0644678412337965</v>
      </c>
      <c r="O23" s="10"/>
      <c r="P23" s="20">
        <f>SUM(OSRRefP22x_0)</f>
        <v>293536.08</v>
      </c>
      <c r="Q23" s="20"/>
      <c r="R23" s="30">
        <f t="shared" ref="R23:R33" si="16">IF(P$12=0,0,P23/P$12)</f>
        <v>0.37227802303043511</v>
      </c>
      <c r="S23" s="20"/>
      <c r="T23" s="20">
        <f>SUM(OSRRefT22x_0)</f>
        <v>165414.93</v>
      </c>
      <c r="U23" s="20"/>
      <c r="V23" s="30">
        <f t="shared" ref="V23:V33" si="17">IF(T$12=0,0,T23/T$12)</f>
        <v>3.4536870836871443</v>
      </c>
      <c r="W23" s="4"/>
      <c r="X23" s="20">
        <f t="shared" ref="X23:X33" si="18">+P23-T23</f>
        <v>128121.15000000002</v>
      </c>
      <c r="Y23" s="4"/>
      <c r="Z23" s="30">
        <f t="shared" ref="Z23:Z33" si="19">IF(T23=0,0,X23/T23)</f>
        <v>0.77454405113250679</v>
      </c>
    </row>
    <row r="24" spans="1:26" s="27" customFormat="1" outlineLevel="1" collapsed="1" x14ac:dyDescent="0.25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27459.919999999998</v>
      </c>
      <c r="E24" s="1"/>
      <c r="F24" s="5">
        <f t="shared" si="12"/>
        <v>4.7504930337605333E-2</v>
      </c>
      <c r="G24" s="1"/>
      <c r="H24" s="1">
        <f>SUM(OSRRefH22_0x_0)</f>
        <v>21183.35</v>
      </c>
      <c r="I24" s="1"/>
      <c r="J24" s="5">
        <f t="shared" si="13"/>
        <v>0.83365374209226584</v>
      </c>
      <c r="K24" s="1"/>
      <c r="L24" s="1">
        <f t="shared" si="14"/>
        <v>6276.57</v>
      </c>
      <c r="M24" s="1"/>
      <c r="N24" s="5">
        <f t="shared" si="15"/>
        <v>0.29629732785418739</v>
      </c>
      <c r="O24" s="14"/>
      <c r="P24" s="1">
        <f>SUM(OSRRefP22_0x_0)</f>
        <v>63563.259999999995</v>
      </c>
      <c r="Q24" s="1"/>
      <c r="R24" s="5">
        <f t="shared" si="16"/>
        <v>8.0614297125482945E-2</v>
      </c>
      <c r="S24" s="1"/>
      <c r="T24" s="1">
        <f>SUM(OSRRefT22_0x_0)</f>
        <v>60419.62999999999</v>
      </c>
      <c r="U24" s="1"/>
      <c r="V24" s="5">
        <f t="shared" si="17"/>
        <v>1.2614973493151813</v>
      </c>
      <c r="W24" s="1"/>
      <c r="X24" s="1">
        <f t="shared" si="18"/>
        <v>3143.6300000000047</v>
      </c>
      <c r="Y24" s="1"/>
      <c r="Z24" s="5">
        <f t="shared" si="19"/>
        <v>5.2029944572649735E-2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7">
        <v>3825.82</v>
      </c>
      <c r="E25" s="2"/>
      <c r="F25" s="6">
        <f t="shared" si="12"/>
        <v>6.6185667177550865E-3</v>
      </c>
      <c r="G25" s="2"/>
      <c r="H25" s="7">
        <v>2075.86</v>
      </c>
      <c r="I25" s="2"/>
      <c r="J25" s="6">
        <f t="shared" si="13"/>
        <v>8.1693804665440128E-2</v>
      </c>
      <c r="K25" s="2"/>
      <c r="L25" s="7">
        <f t="shared" si="14"/>
        <v>1749.96</v>
      </c>
      <c r="M25" s="2"/>
      <c r="N25" s="6">
        <f t="shared" si="15"/>
        <v>0.84300482691510981</v>
      </c>
      <c r="O25" s="11"/>
      <c r="P25" s="7">
        <v>7521.95</v>
      </c>
      <c r="Q25" s="2"/>
      <c r="R25" s="6">
        <f t="shared" si="16"/>
        <v>9.5397358830089339E-3</v>
      </c>
      <c r="S25" s="2"/>
      <c r="T25" s="7">
        <v>5903.22</v>
      </c>
      <c r="U25" s="2"/>
      <c r="V25" s="6">
        <f t="shared" si="17"/>
        <v>0.12325292926196943</v>
      </c>
      <c r="W25" s="2"/>
      <c r="X25" s="7">
        <f t="shared" si="18"/>
        <v>1618.7299999999996</v>
      </c>
      <c r="Y25" s="2"/>
      <c r="Z25" s="6">
        <f t="shared" si="19"/>
        <v>0.27421136261226914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7">
        <v>2052.29</v>
      </c>
      <c r="E26" s="2"/>
      <c r="F26" s="6">
        <f t="shared" si="12"/>
        <v>3.5504070471641595E-3</v>
      </c>
      <c r="G26" s="2"/>
      <c r="H26" s="7">
        <v>1161.18</v>
      </c>
      <c r="I26" s="2"/>
      <c r="J26" s="6">
        <f t="shared" si="13"/>
        <v>4.569730718902805E-2</v>
      </c>
      <c r="K26" s="2"/>
      <c r="L26" s="7">
        <f t="shared" si="14"/>
        <v>891.1099999999999</v>
      </c>
      <c r="M26" s="2"/>
      <c r="N26" s="6">
        <f t="shared" si="15"/>
        <v>0.76741762689677728</v>
      </c>
      <c r="O26" s="11"/>
      <c r="P26" s="7">
        <v>3755.11</v>
      </c>
      <c r="Q26" s="2"/>
      <c r="R26" s="6">
        <f t="shared" si="16"/>
        <v>4.7624296374803986E-3</v>
      </c>
      <c r="S26" s="2"/>
      <c r="T26" s="7">
        <v>3303.58</v>
      </c>
      <c r="U26" s="2"/>
      <c r="V26" s="6">
        <f t="shared" si="17"/>
        <v>6.8975222344967141E-2</v>
      </c>
      <c r="W26" s="2"/>
      <c r="X26" s="7">
        <f t="shared" si="18"/>
        <v>451.5300000000002</v>
      </c>
      <c r="Y26" s="2"/>
      <c r="Z26" s="6">
        <f t="shared" si="19"/>
        <v>0.13667899672476533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7">
        <v>15071.47</v>
      </c>
      <c r="E27" s="2"/>
      <c r="F27" s="6">
        <f t="shared" si="12"/>
        <v>2.6073241744160532E-2</v>
      </c>
      <c r="G27" s="2"/>
      <c r="H27" s="7">
        <v>12526.51</v>
      </c>
      <c r="I27" s="2"/>
      <c r="J27" s="6">
        <f t="shared" si="13"/>
        <v>0.49297074999262108</v>
      </c>
      <c r="K27" s="2"/>
      <c r="L27" s="7">
        <f t="shared" si="14"/>
        <v>2544.9599999999991</v>
      </c>
      <c r="M27" s="2"/>
      <c r="N27" s="6">
        <f t="shared" si="15"/>
        <v>0.20316592570476527</v>
      </c>
      <c r="O27" s="11"/>
      <c r="P27" s="7">
        <v>36249.230000000003</v>
      </c>
      <c r="Q27" s="2"/>
      <c r="R27" s="6">
        <f t="shared" si="16"/>
        <v>4.5973195801945504E-2</v>
      </c>
      <c r="S27" s="2"/>
      <c r="T27" s="7">
        <v>34879.599999999999</v>
      </c>
      <c r="U27" s="2"/>
      <c r="V27" s="6">
        <f t="shared" si="17"/>
        <v>0.72824879836526313</v>
      </c>
      <c r="W27" s="2"/>
      <c r="X27" s="7">
        <f t="shared" si="18"/>
        <v>1369.6300000000047</v>
      </c>
      <c r="Y27" s="2"/>
      <c r="Z27" s="6">
        <f t="shared" si="19"/>
        <v>3.9267365451438802E-2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7">
        <v>148.22999999999999</v>
      </c>
      <c r="E28" s="2"/>
      <c r="F28" s="6">
        <f t="shared" si="12"/>
        <v>2.5643395260959383E-4</v>
      </c>
      <c r="G28" s="2"/>
      <c r="H28" s="7">
        <v>70.37</v>
      </c>
      <c r="I28" s="2"/>
      <c r="J28" s="6">
        <f t="shared" si="13"/>
        <v>2.7693548863155617E-3</v>
      </c>
      <c r="K28" s="2"/>
      <c r="L28" s="7">
        <f t="shared" si="14"/>
        <v>77.859999999999985</v>
      </c>
      <c r="M28" s="2"/>
      <c r="N28" s="6">
        <f t="shared" si="15"/>
        <v>1.1064374023021171</v>
      </c>
      <c r="O28" s="11"/>
      <c r="P28" s="7">
        <v>271.20999999999998</v>
      </c>
      <c r="Q28" s="2"/>
      <c r="R28" s="6">
        <f t="shared" si="16"/>
        <v>3.4396290441053888E-4</v>
      </c>
      <c r="S28" s="2"/>
      <c r="T28" s="7">
        <v>200.21</v>
      </c>
      <c r="U28" s="2"/>
      <c r="V28" s="6">
        <f t="shared" si="17"/>
        <v>4.1801709859261389E-3</v>
      </c>
      <c r="W28" s="2"/>
      <c r="X28" s="7">
        <f t="shared" si="18"/>
        <v>70.999999999999972</v>
      </c>
      <c r="Y28" s="2"/>
      <c r="Z28" s="6">
        <f t="shared" si="19"/>
        <v>0.35462764097697402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7">
        <v>1179.29</v>
      </c>
      <c r="E29" s="2"/>
      <c r="F29" s="6">
        <f t="shared" si="12"/>
        <v>2.0401402953043779E-3</v>
      </c>
      <c r="G29" s="2"/>
      <c r="H29" s="7">
        <v>950.04</v>
      </c>
      <c r="I29" s="2"/>
      <c r="J29" s="6">
        <f t="shared" si="13"/>
        <v>3.738806190415285E-2</v>
      </c>
      <c r="K29" s="2"/>
      <c r="L29" s="7">
        <f t="shared" si="14"/>
        <v>229.25</v>
      </c>
      <c r="M29" s="2"/>
      <c r="N29" s="6">
        <f t="shared" si="15"/>
        <v>0.24130562923666374</v>
      </c>
      <c r="O29" s="11"/>
      <c r="P29" s="7">
        <v>3050.45</v>
      </c>
      <c r="Q29" s="2"/>
      <c r="R29" s="6">
        <f t="shared" si="16"/>
        <v>3.8687424569858351E-3</v>
      </c>
      <c r="S29" s="2"/>
      <c r="T29" s="7">
        <v>3325.13</v>
      </c>
      <c r="U29" s="2"/>
      <c r="V29" s="6">
        <f t="shared" si="17"/>
        <v>6.9425163330665701E-2</v>
      </c>
      <c r="W29" s="2"/>
      <c r="X29" s="7">
        <f t="shared" si="18"/>
        <v>-274.68000000000029</v>
      </c>
      <c r="Y29" s="2"/>
      <c r="Z29" s="6">
        <f t="shared" si="19"/>
        <v>-8.2607296556826429E-2</v>
      </c>
    </row>
    <row r="30" spans="1:26" s="24" customFormat="1" hidden="1" outlineLevel="2" x14ac:dyDescent="0.25">
      <c r="A30" s="28"/>
      <c r="B30" s="11" t="str">
        <f>CONCATENATE("          ", "6117", " - ", "RETIREMENT STAFF HOURLY")</f>
        <v xml:space="preserve">          6117 - RETIREMENT STAFF HOURLY</v>
      </c>
      <c r="C30" s="11"/>
      <c r="D30" s="7">
        <v>277.60000000000002</v>
      </c>
      <c r="E30" s="2"/>
      <c r="F30" s="6">
        <f t="shared" si="12"/>
        <v>4.8024060746423305E-4</v>
      </c>
      <c r="G30" s="2"/>
      <c r="H30" s="7">
        <v>386.15</v>
      </c>
      <c r="I30" s="2"/>
      <c r="J30" s="6">
        <f t="shared" si="13"/>
        <v>1.5196623409844451E-2</v>
      </c>
      <c r="K30" s="2"/>
      <c r="L30" s="7">
        <f t="shared" si="14"/>
        <v>-108.54999999999995</v>
      </c>
      <c r="M30" s="2"/>
      <c r="N30" s="6">
        <f t="shared" si="15"/>
        <v>-0.28110837757348173</v>
      </c>
      <c r="O30" s="11"/>
      <c r="P30" s="7">
        <v>1200.31</v>
      </c>
      <c r="Q30" s="2"/>
      <c r="R30" s="6">
        <f t="shared" si="16"/>
        <v>1.5222967950776665E-3</v>
      </c>
      <c r="S30" s="2"/>
      <c r="T30" s="7">
        <v>1247.57</v>
      </c>
      <c r="U30" s="2"/>
      <c r="V30" s="6">
        <f t="shared" si="17"/>
        <v>2.6047929258837581E-2</v>
      </c>
      <c r="W30" s="2"/>
      <c r="X30" s="7">
        <f t="shared" si="18"/>
        <v>-47.259999999999991</v>
      </c>
      <c r="Y30" s="2"/>
      <c r="Z30" s="6">
        <f t="shared" si="19"/>
        <v>-3.7881641911876686E-2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7">
        <v>2232.8200000000002</v>
      </c>
      <c r="E31" s="2"/>
      <c r="F31" s="6">
        <f t="shared" si="12"/>
        <v>3.8627191396191961E-3</v>
      </c>
      <c r="G31" s="2"/>
      <c r="H31" s="7">
        <v>1900.86</v>
      </c>
      <c r="I31" s="2"/>
      <c r="J31" s="6">
        <f t="shared" si="13"/>
        <v>7.4806820082447045E-2</v>
      </c>
      <c r="K31" s="2"/>
      <c r="L31" s="7">
        <f t="shared" si="14"/>
        <v>331.96000000000026</v>
      </c>
      <c r="M31" s="2"/>
      <c r="N31" s="6">
        <f t="shared" si="15"/>
        <v>0.17463674336879112</v>
      </c>
      <c r="O31" s="11"/>
      <c r="P31" s="7">
        <v>5706.37</v>
      </c>
      <c r="Q31" s="2"/>
      <c r="R31" s="6">
        <f t="shared" si="16"/>
        <v>7.2371210458359462E-3</v>
      </c>
      <c r="S31" s="2"/>
      <c r="T31" s="7">
        <v>5605.18</v>
      </c>
      <c r="U31" s="2"/>
      <c r="V31" s="6">
        <f t="shared" si="17"/>
        <v>0.11703017235349619</v>
      </c>
      <c r="W31" s="2"/>
      <c r="X31" s="7">
        <f t="shared" si="18"/>
        <v>101.1899999999996</v>
      </c>
      <c r="Y31" s="2"/>
      <c r="Z31" s="6">
        <f t="shared" si="19"/>
        <v>1.805294388405004E-2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7">
        <v>1593.46</v>
      </c>
      <c r="E32" s="2"/>
      <c r="F32" s="6">
        <f t="shared" si="12"/>
        <v>2.7566433658860112E-3</v>
      </c>
      <c r="G32" s="2"/>
      <c r="H32" s="7">
        <v>1214.78</v>
      </c>
      <c r="I32" s="2"/>
      <c r="J32" s="6">
        <f t="shared" si="13"/>
        <v>4.7806692181304788E-2</v>
      </c>
      <c r="K32" s="2"/>
      <c r="L32" s="7">
        <f t="shared" si="14"/>
        <v>378.68000000000006</v>
      </c>
      <c r="M32" s="2"/>
      <c r="N32" s="6">
        <f t="shared" si="15"/>
        <v>0.31172722632904731</v>
      </c>
      <c r="O32" s="11"/>
      <c r="P32" s="7">
        <v>3682.82</v>
      </c>
      <c r="Q32" s="2"/>
      <c r="R32" s="6">
        <f t="shared" si="16"/>
        <v>4.6707476259032522E-3</v>
      </c>
      <c r="S32" s="2"/>
      <c r="T32" s="7">
        <v>3644.34</v>
      </c>
      <c r="U32" s="2"/>
      <c r="V32" s="6">
        <f t="shared" si="17"/>
        <v>7.6089927230658133E-2</v>
      </c>
      <c r="W32" s="2"/>
      <c r="X32" s="7">
        <f t="shared" si="18"/>
        <v>38.480000000000018</v>
      </c>
      <c r="Y32" s="2"/>
      <c r="Z32" s="6">
        <f t="shared" si="19"/>
        <v>1.0558839186244976E-2</v>
      </c>
    </row>
    <row r="33" spans="1:26" s="24" customFormat="1" hidden="1" outlineLevel="2" x14ac:dyDescent="0.25">
      <c r="A33" s="28"/>
      <c r="B33" s="11" t="str">
        <f>CONCATENATE("          ", "6156", " - ", "EMPLOYEE MEALS")</f>
        <v xml:space="preserve">          6156 - EMPLOYEE MEALS</v>
      </c>
      <c r="C33" s="11"/>
      <c r="D33" s="7">
        <v>1078.94</v>
      </c>
      <c r="E33" s="2"/>
      <c r="F33" s="6">
        <f t="shared" si="12"/>
        <v>1.8665374676421454E-3</v>
      </c>
      <c r="G33" s="2"/>
      <c r="H33" s="7">
        <v>897.6</v>
      </c>
      <c r="I33" s="2"/>
      <c r="J33" s="6">
        <f t="shared" si="13"/>
        <v>3.5324327781111955E-2</v>
      </c>
      <c r="K33" s="2"/>
      <c r="L33" s="7">
        <f t="shared" si="14"/>
        <v>181.34000000000003</v>
      </c>
      <c r="M33" s="2"/>
      <c r="N33" s="6">
        <f t="shared" si="15"/>
        <v>0.20202762923351161</v>
      </c>
      <c r="O33" s="11"/>
      <c r="P33" s="7">
        <v>2125.81</v>
      </c>
      <c r="Q33" s="2"/>
      <c r="R33" s="6">
        <f t="shared" si="16"/>
        <v>2.6960649748348797E-3</v>
      </c>
      <c r="S33" s="2"/>
      <c r="T33" s="7">
        <v>2310.8000000000002</v>
      </c>
      <c r="U33" s="2"/>
      <c r="V33" s="6">
        <f t="shared" si="17"/>
        <v>4.824703618339804E-2</v>
      </c>
      <c r="W33" s="2"/>
      <c r="X33" s="7">
        <f t="shared" si="18"/>
        <v>-184.99000000000024</v>
      </c>
      <c r="Y33" s="2"/>
      <c r="Z33" s="6">
        <f t="shared" si="19"/>
        <v>-8.0054526570884632E-2</v>
      </c>
    </row>
    <row r="34" spans="1:26" s="27" customFormat="1" outlineLevel="1" collapsed="1" x14ac:dyDescent="0.25">
      <c r="A34" s="29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62148.71</v>
      </c>
      <c r="E34" s="1"/>
      <c r="F34" s="5">
        <f t="shared" ref="F34:F38" si="20">IF(D$12=0,0,D34/D$12)</f>
        <v>0.10751561326915869</v>
      </c>
      <c r="G34" s="1"/>
      <c r="H34" s="1">
        <f>SUM(OSRRefH22_1x_0)</f>
        <v>24018.489999999998</v>
      </c>
      <c r="I34" s="1"/>
      <c r="J34" s="5">
        <f t="shared" ref="J34:J38" si="21">IF(H$12=0,0,H34/H$12)</f>
        <v>0.94522840192442015</v>
      </c>
      <c r="K34" s="1"/>
      <c r="L34" s="1">
        <f t="shared" ref="L34:L38" si="22">+D34-H34</f>
        <v>38130.22</v>
      </c>
      <c r="M34" s="1"/>
      <c r="N34" s="5">
        <f t="shared" ref="N34:N38" si="23">IF(H34=0,0,L34/H34)</f>
        <v>1.5875361023944472</v>
      </c>
      <c r="O34" s="14"/>
      <c r="P34" s="1">
        <f>SUM(OSRRefP22_1x_0)</f>
        <v>119037.66</v>
      </c>
      <c r="Q34" s="1"/>
      <c r="R34" s="5">
        <f t="shared" ref="R34:R38" si="24">IF(P$12=0,0,P34/P$12)</f>
        <v>0.15096987304241818</v>
      </c>
      <c r="S34" s="1"/>
      <c r="T34" s="1">
        <f>SUM(OSRRefT22_1x_0)</f>
        <v>68873.16</v>
      </c>
      <c r="U34" s="1"/>
      <c r="V34" s="5">
        <f t="shared" ref="V34:V38" si="25">IF(T$12=0,0,T34/T$12)</f>
        <v>1.4379980277760787</v>
      </c>
      <c r="W34" s="1"/>
      <c r="X34" s="1">
        <f t="shared" ref="X34:X38" si="26">+P34-T34</f>
        <v>50164.5</v>
      </c>
      <c r="Y34" s="1"/>
      <c r="Z34" s="5">
        <f t="shared" ref="Z34:Z38" si="27">IF(T34=0,0,X34/T34)</f>
        <v>0.72836065602333333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7">
        <v>14821.74</v>
      </c>
      <c r="E35" s="2"/>
      <c r="F35" s="6">
        <f t="shared" si="20"/>
        <v>2.5641215494513404E-2</v>
      </c>
      <c r="G35" s="2"/>
      <c r="H35" s="7">
        <v>9874.02</v>
      </c>
      <c r="I35" s="2"/>
      <c r="J35" s="6">
        <f t="shared" si="21"/>
        <v>0.3885841343552307</v>
      </c>
      <c r="K35" s="2"/>
      <c r="L35" s="7">
        <f t="shared" si="22"/>
        <v>4947.7199999999993</v>
      </c>
      <c r="M35" s="2"/>
      <c r="N35" s="6">
        <f t="shared" si="23"/>
        <v>0.50108466460468981</v>
      </c>
      <c r="O35" s="11"/>
      <c r="P35" s="7">
        <v>35848.629999999997</v>
      </c>
      <c r="Q35" s="2"/>
      <c r="R35" s="6">
        <f t="shared" si="24"/>
        <v>4.5465133637914441E-2</v>
      </c>
      <c r="S35" s="2"/>
      <c r="T35" s="7">
        <v>28718.26</v>
      </c>
      <c r="U35" s="2"/>
      <c r="V35" s="6">
        <f t="shared" si="25"/>
        <v>0.59960659916229553</v>
      </c>
      <c r="W35" s="2"/>
      <c r="X35" s="7">
        <f t="shared" si="26"/>
        <v>7130.369999999999</v>
      </c>
      <c r="Y35" s="2"/>
      <c r="Z35" s="6">
        <f t="shared" si="27"/>
        <v>0.24828697838935923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7">
        <v>24955.32</v>
      </c>
      <c r="E36" s="2"/>
      <c r="F36" s="6">
        <f t="shared" si="20"/>
        <v>4.3172039035534307E-2</v>
      </c>
      <c r="G36" s="2"/>
      <c r="H36" s="7">
        <v>14206.47</v>
      </c>
      <c r="I36" s="2"/>
      <c r="J36" s="6">
        <f t="shared" si="21"/>
        <v>0.55908422782144995</v>
      </c>
      <c r="K36" s="2"/>
      <c r="L36" s="7">
        <f t="shared" si="22"/>
        <v>10748.85</v>
      </c>
      <c r="M36" s="2"/>
      <c r="N36" s="6">
        <f t="shared" si="23"/>
        <v>0.75661652753991671</v>
      </c>
      <c r="O36" s="11"/>
      <c r="P36" s="7">
        <v>46785.19</v>
      </c>
      <c r="Q36" s="2"/>
      <c r="R36" s="6">
        <f t="shared" si="24"/>
        <v>5.9335459001507697E-2</v>
      </c>
      <c r="S36" s="2"/>
      <c r="T36" s="7">
        <v>36952.9</v>
      </c>
      <c r="U36" s="2"/>
      <c r="V36" s="6">
        <f t="shared" si="25"/>
        <v>0.7715370881865542</v>
      </c>
      <c r="W36" s="2"/>
      <c r="X36" s="7">
        <f t="shared" si="26"/>
        <v>9832.2900000000009</v>
      </c>
      <c r="Y36" s="2"/>
      <c r="Z36" s="6">
        <f t="shared" si="27"/>
        <v>0.26607627547499657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7">
        <v>8671.5400000000009</v>
      </c>
      <c r="E37" s="2"/>
      <c r="F37" s="6">
        <f t="shared" si="20"/>
        <v>1.5001533275397678E-2</v>
      </c>
      <c r="G37" s="2"/>
      <c r="H37" s="7"/>
      <c r="I37" s="2"/>
      <c r="J37" s="6">
        <f t="shared" si="21"/>
        <v>0</v>
      </c>
      <c r="K37" s="2"/>
      <c r="L37" s="7">
        <f t="shared" si="22"/>
        <v>8671.5400000000009</v>
      </c>
      <c r="M37" s="2"/>
      <c r="N37" s="6">
        <f t="shared" si="23"/>
        <v>0</v>
      </c>
      <c r="O37" s="11"/>
      <c r="P37" s="7">
        <v>10094.58</v>
      </c>
      <c r="Q37" s="2"/>
      <c r="R37" s="6">
        <f t="shared" si="24"/>
        <v>1.2802481676946049E-2</v>
      </c>
      <c r="S37" s="2"/>
      <c r="T37" s="7"/>
      <c r="U37" s="2"/>
      <c r="V37" s="6">
        <f t="shared" si="25"/>
        <v>0</v>
      </c>
      <c r="W37" s="2"/>
      <c r="X37" s="7">
        <f t="shared" si="26"/>
        <v>10094.58</v>
      </c>
      <c r="Y37" s="2"/>
      <c r="Z37" s="6">
        <f t="shared" si="27"/>
        <v>0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7">
        <v>13700.11</v>
      </c>
      <c r="E38" s="2"/>
      <c r="F38" s="6">
        <f t="shared" si="20"/>
        <v>2.3700825463713306E-2</v>
      </c>
      <c r="G38" s="2"/>
      <c r="H38" s="7">
        <v>-62</v>
      </c>
      <c r="I38" s="2"/>
      <c r="J38" s="6">
        <f t="shared" si="21"/>
        <v>-2.4399602522604067E-3</v>
      </c>
      <c r="K38" s="2"/>
      <c r="L38" s="7">
        <f t="shared" si="22"/>
        <v>13762.11</v>
      </c>
      <c r="M38" s="2"/>
      <c r="N38" s="6">
        <f t="shared" si="23"/>
        <v>-221.96951612903226</v>
      </c>
      <c r="O38" s="11"/>
      <c r="P38" s="7">
        <v>26309.26</v>
      </c>
      <c r="Q38" s="2"/>
      <c r="R38" s="6">
        <f t="shared" si="24"/>
        <v>3.336679872604998E-2</v>
      </c>
      <c r="S38" s="2"/>
      <c r="T38" s="7">
        <v>3202</v>
      </c>
      <c r="U38" s="2"/>
      <c r="V38" s="6">
        <f t="shared" si="25"/>
        <v>6.6854340427228889E-2</v>
      </c>
      <c r="W38" s="2"/>
      <c r="X38" s="7">
        <f t="shared" si="26"/>
        <v>23107.26</v>
      </c>
      <c r="Y38" s="2"/>
      <c r="Z38" s="6">
        <f t="shared" si="27"/>
        <v>7.2165084322298556</v>
      </c>
    </row>
    <row r="39" spans="1:26" s="27" customFormat="1" outlineLevel="1" collapsed="1" x14ac:dyDescent="0.25">
      <c r="A39" s="29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349.4</v>
      </c>
      <c r="E39" s="1"/>
      <c r="F39" s="5">
        <f t="shared" ref="F39:F57" si="28">IF(D$12=0,0,D39/D$12)</f>
        <v>6.0445269541787824E-4</v>
      </c>
      <c r="G39" s="1"/>
      <c r="H39" s="1">
        <f>SUM(OSRRefH22_2x_0)</f>
        <v>0</v>
      </c>
      <c r="I39" s="1"/>
      <c r="J39" s="5">
        <f t="shared" ref="J39:J57" si="29">IF(H$12=0,0,H39/H$12)</f>
        <v>0</v>
      </c>
      <c r="K39" s="1"/>
      <c r="L39" s="1">
        <f t="shared" ref="L39:L57" si="30">+D39-H39</f>
        <v>349.4</v>
      </c>
      <c r="M39" s="1"/>
      <c r="N39" s="5">
        <f t="shared" ref="N39:N57" si="31">IF(H39=0,0,L39/H39)</f>
        <v>0</v>
      </c>
      <c r="O39" s="14"/>
      <c r="P39" s="1">
        <f>SUM(OSRRefP22_2x_0)</f>
        <v>1014.37</v>
      </c>
      <c r="Q39" s="1"/>
      <c r="R39" s="5">
        <f t="shared" ref="R39:R57" si="32">IF(P$12=0,0,P39/P$12)</f>
        <v>1.2864778265805773E-3</v>
      </c>
      <c r="S39" s="1"/>
      <c r="T39" s="1">
        <f>SUM(OSRRefT22_2x_0)</f>
        <v>204.75</v>
      </c>
      <c r="U39" s="1"/>
      <c r="V39" s="5">
        <f t="shared" ref="V39:V57" si="33">IF(T$12=0,0,T39/T$12)</f>
        <v>4.2749613374375751E-3</v>
      </c>
      <c r="W39" s="1"/>
      <c r="X39" s="1">
        <f t="shared" ref="X39:X57" si="34">+P39-T39</f>
        <v>809.62</v>
      </c>
      <c r="Y39" s="1"/>
      <c r="Z39" s="5">
        <f t="shared" ref="Z39:Z57" si="35">IF(T39=0,0,X39/T39)</f>
        <v>3.954188034188034</v>
      </c>
    </row>
    <row r="40" spans="1:26" s="24" customFormat="1" hidden="1" outlineLevel="2" x14ac:dyDescent="0.25">
      <c r="A40" s="28"/>
      <c r="B40" s="11" t="str">
        <f>CONCATENATE("          ", "6362", " - ", "ADVERTISING EXPENSE")</f>
        <v xml:space="preserve">          6362 - ADVERTISING EXPENSE</v>
      </c>
      <c r="C40" s="11"/>
      <c r="D40" s="7">
        <v>349.4</v>
      </c>
      <c r="E40" s="2"/>
      <c r="F40" s="6">
        <f t="shared" si="28"/>
        <v>6.0445269541787824E-4</v>
      </c>
      <c r="G40" s="2"/>
      <c r="H40" s="7"/>
      <c r="I40" s="2"/>
      <c r="J40" s="6">
        <f t="shared" si="29"/>
        <v>0</v>
      </c>
      <c r="K40" s="2"/>
      <c r="L40" s="7">
        <f t="shared" si="30"/>
        <v>349.4</v>
      </c>
      <c r="M40" s="2"/>
      <c r="N40" s="6">
        <f t="shared" si="31"/>
        <v>0</v>
      </c>
      <c r="O40" s="11"/>
      <c r="P40" s="7">
        <v>1014.37</v>
      </c>
      <c r="Q40" s="2"/>
      <c r="R40" s="6">
        <f t="shared" si="32"/>
        <v>1.2864778265805773E-3</v>
      </c>
      <c r="S40" s="2"/>
      <c r="T40" s="7">
        <v>204.75</v>
      </c>
      <c r="U40" s="2"/>
      <c r="V40" s="6">
        <f t="shared" si="33"/>
        <v>4.2749613374375751E-3</v>
      </c>
      <c r="W40" s="2"/>
      <c r="X40" s="7">
        <f t="shared" si="34"/>
        <v>809.62</v>
      </c>
      <c r="Y40" s="2"/>
      <c r="Z40" s="6">
        <f t="shared" si="35"/>
        <v>3.954188034188034</v>
      </c>
    </row>
    <row r="41" spans="1:26" s="27" customFormat="1" outlineLevel="1" collapsed="1" x14ac:dyDescent="0.25">
      <c r="A41" s="29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0.1</v>
      </c>
      <c r="E41" s="1"/>
      <c r="F41" s="5">
        <f t="shared" si="28"/>
        <v>1.7299733698279287E-7</v>
      </c>
      <c r="G41" s="1"/>
      <c r="H41" s="1">
        <f>SUM(OSRRefH22_3x_0)</f>
        <v>0</v>
      </c>
      <c r="I41" s="1"/>
      <c r="J41" s="5">
        <f t="shared" si="29"/>
        <v>0</v>
      </c>
      <c r="K41" s="1"/>
      <c r="L41" s="1">
        <f t="shared" si="30"/>
        <v>0.1</v>
      </c>
      <c r="M41" s="1"/>
      <c r="N41" s="5">
        <f t="shared" si="31"/>
        <v>0</v>
      </c>
      <c r="O41" s="14"/>
      <c r="P41" s="1">
        <f>SUM(OSRRefP22_3x_0)</f>
        <v>0.1</v>
      </c>
      <c r="Q41" s="1"/>
      <c r="R41" s="5">
        <f t="shared" si="32"/>
        <v>1.2682530305318349E-7</v>
      </c>
      <c r="S41" s="1"/>
      <c r="T41" s="1">
        <f>SUM(OSRRefT22_3x_0)</f>
        <v>0</v>
      </c>
      <c r="U41" s="1"/>
      <c r="V41" s="5">
        <f t="shared" si="33"/>
        <v>0</v>
      </c>
      <c r="W41" s="1"/>
      <c r="X41" s="1">
        <f t="shared" si="34"/>
        <v>0.1</v>
      </c>
      <c r="Y41" s="1"/>
      <c r="Z41" s="5">
        <f t="shared" si="35"/>
        <v>0</v>
      </c>
    </row>
    <row r="42" spans="1:26" s="24" customFormat="1" hidden="1" outlineLevel="2" x14ac:dyDescent="0.25">
      <c r="A42" s="28"/>
      <c r="B42" s="11" t="str">
        <f>CONCATENATE("          ", "6272", " - ", "CASH (OVER/SHORT)")</f>
        <v xml:space="preserve">          6272 - CASH (OVER/SHORT)</v>
      </c>
      <c r="C42" s="11"/>
      <c r="D42" s="7">
        <v>0.1</v>
      </c>
      <c r="E42" s="2"/>
      <c r="F42" s="6">
        <f t="shared" si="28"/>
        <v>1.7299733698279287E-7</v>
      </c>
      <c r="G42" s="2"/>
      <c r="H42" s="7"/>
      <c r="I42" s="2"/>
      <c r="J42" s="6">
        <f t="shared" si="29"/>
        <v>0</v>
      </c>
      <c r="K42" s="2"/>
      <c r="L42" s="7">
        <f t="shared" si="30"/>
        <v>0.1</v>
      </c>
      <c r="M42" s="2"/>
      <c r="N42" s="6">
        <f t="shared" si="31"/>
        <v>0</v>
      </c>
      <c r="O42" s="11"/>
      <c r="P42" s="7">
        <v>0.1</v>
      </c>
      <c r="Q42" s="2"/>
      <c r="R42" s="6">
        <f t="shared" si="32"/>
        <v>1.2682530305318349E-7</v>
      </c>
      <c r="S42" s="2"/>
      <c r="T42" s="7">
        <v>0</v>
      </c>
      <c r="U42" s="2"/>
      <c r="V42" s="6">
        <f t="shared" si="33"/>
        <v>0</v>
      </c>
      <c r="W42" s="2"/>
      <c r="X42" s="7">
        <f t="shared" si="34"/>
        <v>0.1</v>
      </c>
      <c r="Y42" s="2"/>
      <c r="Z42" s="6">
        <f t="shared" si="35"/>
        <v>0</v>
      </c>
    </row>
    <row r="43" spans="1:26" s="27" customFormat="1" outlineLevel="1" collapsed="1" x14ac:dyDescent="0.25">
      <c r="A43" s="29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54.15</v>
      </c>
      <c r="E43" s="1"/>
      <c r="F43" s="5">
        <f t="shared" si="28"/>
        <v>9.3678057976182333E-5</v>
      </c>
      <c r="G43" s="1"/>
      <c r="H43" s="1">
        <f>SUM(OSRRefH22_4x_0)</f>
        <v>0</v>
      </c>
      <c r="I43" s="1"/>
      <c r="J43" s="5">
        <f t="shared" si="29"/>
        <v>0</v>
      </c>
      <c r="K43" s="1"/>
      <c r="L43" s="1">
        <f t="shared" si="30"/>
        <v>54.15</v>
      </c>
      <c r="M43" s="1"/>
      <c r="N43" s="5">
        <f t="shared" si="31"/>
        <v>0</v>
      </c>
      <c r="O43" s="14"/>
      <c r="P43" s="1">
        <f>SUM(OSRRefP22_4x_0)</f>
        <v>94.7</v>
      </c>
      <c r="Q43" s="1"/>
      <c r="R43" s="5">
        <f t="shared" si="32"/>
        <v>1.2010356199136475E-4</v>
      </c>
      <c r="S43" s="1"/>
      <c r="T43" s="1">
        <f>SUM(OSRRefT22_4x_0)</f>
        <v>0</v>
      </c>
      <c r="U43" s="1"/>
      <c r="V43" s="5">
        <f t="shared" si="33"/>
        <v>0</v>
      </c>
      <c r="W43" s="1"/>
      <c r="X43" s="1">
        <f t="shared" si="34"/>
        <v>94.7</v>
      </c>
      <c r="Y43" s="1"/>
      <c r="Z43" s="5">
        <f t="shared" si="35"/>
        <v>0</v>
      </c>
    </row>
    <row r="44" spans="1:26" s="24" customFormat="1" hidden="1" outlineLevel="2" x14ac:dyDescent="0.25">
      <c r="A44" s="28"/>
      <c r="B44" s="11" t="str">
        <f>CONCATENATE("          ", "6381", " - ", "BANK/CREDIT CARD FEES")</f>
        <v xml:space="preserve">          6381 - BANK/CREDIT CARD FEES</v>
      </c>
      <c r="C44" s="11"/>
      <c r="D44" s="7">
        <v>54.15</v>
      </c>
      <c r="E44" s="2"/>
      <c r="F44" s="6">
        <f t="shared" si="28"/>
        <v>9.3678057976182333E-5</v>
      </c>
      <c r="G44" s="2"/>
      <c r="H44" s="7"/>
      <c r="I44" s="2"/>
      <c r="J44" s="6">
        <f t="shared" si="29"/>
        <v>0</v>
      </c>
      <c r="K44" s="2"/>
      <c r="L44" s="7">
        <f t="shared" si="30"/>
        <v>54.15</v>
      </c>
      <c r="M44" s="2"/>
      <c r="N44" s="6">
        <f t="shared" si="31"/>
        <v>0</v>
      </c>
      <c r="O44" s="11"/>
      <c r="P44" s="7">
        <v>94.7</v>
      </c>
      <c r="Q44" s="2"/>
      <c r="R44" s="6">
        <f t="shared" si="32"/>
        <v>1.2010356199136475E-4</v>
      </c>
      <c r="S44" s="2"/>
      <c r="T44" s="7"/>
      <c r="U44" s="2"/>
      <c r="V44" s="6">
        <f t="shared" si="33"/>
        <v>0</v>
      </c>
      <c r="W44" s="2"/>
      <c r="X44" s="7">
        <f t="shared" si="34"/>
        <v>94.7</v>
      </c>
      <c r="Y44" s="2"/>
      <c r="Z44" s="6">
        <f t="shared" si="35"/>
        <v>0</v>
      </c>
    </row>
    <row r="45" spans="1:26" s="27" customFormat="1" outlineLevel="1" collapsed="1" x14ac:dyDescent="0.25">
      <c r="A45" s="29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273.51</v>
      </c>
      <c r="E45" s="1"/>
      <c r="F45" s="5">
        <f t="shared" si="28"/>
        <v>4.7316501638163677E-4</v>
      </c>
      <c r="G45" s="1"/>
      <c r="H45" s="1">
        <f>SUM(OSRRefH22_5x_0)</f>
        <v>272.74</v>
      </c>
      <c r="I45" s="1"/>
      <c r="J45" s="5">
        <f t="shared" si="29"/>
        <v>1.0733463858088764E-2</v>
      </c>
      <c r="K45" s="1"/>
      <c r="L45" s="1">
        <f t="shared" si="30"/>
        <v>0.76999999999998181</v>
      </c>
      <c r="M45" s="1"/>
      <c r="N45" s="5">
        <f t="shared" si="31"/>
        <v>2.8232015839260165E-3</v>
      </c>
      <c r="O45" s="14"/>
      <c r="P45" s="1">
        <f>SUM(OSRRefP22_5x_0)</f>
        <v>820.53</v>
      </c>
      <c r="Q45" s="1"/>
      <c r="R45" s="5">
        <f t="shared" si="32"/>
        <v>1.0406396591422864E-3</v>
      </c>
      <c r="S45" s="1"/>
      <c r="T45" s="1">
        <f>SUM(OSRRefT22_5x_0)</f>
        <v>554</v>
      </c>
      <c r="U45" s="1"/>
      <c r="V45" s="5">
        <f t="shared" si="33"/>
        <v>1.156692835624135E-2</v>
      </c>
      <c r="W45" s="1"/>
      <c r="X45" s="1">
        <f t="shared" si="34"/>
        <v>266.52999999999997</v>
      </c>
      <c r="Y45" s="1"/>
      <c r="Z45" s="5">
        <f t="shared" si="35"/>
        <v>0.48110108303249094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273.51</v>
      </c>
      <c r="E46" s="2"/>
      <c r="F46" s="6">
        <f t="shared" si="28"/>
        <v>4.7316501638163677E-4</v>
      </c>
      <c r="G46" s="2"/>
      <c r="H46" s="7">
        <v>272.74</v>
      </c>
      <c r="I46" s="2"/>
      <c r="J46" s="6">
        <f t="shared" si="29"/>
        <v>1.0733463858088764E-2</v>
      </c>
      <c r="K46" s="2"/>
      <c r="L46" s="7">
        <f t="shared" si="30"/>
        <v>0.76999999999998181</v>
      </c>
      <c r="M46" s="2"/>
      <c r="N46" s="6">
        <f t="shared" si="31"/>
        <v>2.8232015839260165E-3</v>
      </c>
      <c r="O46" s="11"/>
      <c r="P46" s="7">
        <v>820.53</v>
      </c>
      <c r="Q46" s="2"/>
      <c r="R46" s="6">
        <f t="shared" si="32"/>
        <v>1.0406396591422864E-3</v>
      </c>
      <c r="S46" s="2"/>
      <c r="T46" s="7">
        <v>554</v>
      </c>
      <c r="U46" s="2"/>
      <c r="V46" s="6">
        <f t="shared" si="33"/>
        <v>1.156692835624135E-2</v>
      </c>
      <c r="W46" s="2"/>
      <c r="X46" s="7">
        <f t="shared" si="34"/>
        <v>266.52999999999997</v>
      </c>
      <c r="Y46" s="2"/>
      <c r="Z46" s="6">
        <f t="shared" si="35"/>
        <v>0.48110108303249094</v>
      </c>
    </row>
    <row r="47" spans="1:26" s="27" customFormat="1" outlineLevel="1" collapsed="1" x14ac:dyDescent="0.25">
      <c r="A47" s="29"/>
      <c r="B47" s="14" t="str">
        <f>CONCATENATE("     ","Donations                                         ")</f>
        <v xml:space="preserve">     Donations                                         </v>
      </c>
      <c r="C47" s="14"/>
      <c r="D47" s="1">
        <f>SUM(OSRRefD22_6x_0)</f>
        <v>4853.7700000000004</v>
      </c>
      <c r="E47" s="1"/>
      <c r="F47" s="5">
        <f t="shared" si="28"/>
        <v>8.3968928432697054E-3</v>
      </c>
      <c r="G47" s="1"/>
      <c r="H47" s="1">
        <f>SUM(OSRRefH22_6x_0)</f>
        <v>0</v>
      </c>
      <c r="I47" s="1"/>
      <c r="J47" s="5">
        <f t="shared" si="29"/>
        <v>0</v>
      </c>
      <c r="K47" s="1"/>
      <c r="L47" s="1">
        <f t="shared" si="30"/>
        <v>4853.7700000000004</v>
      </c>
      <c r="M47" s="1"/>
      <c r="N47" s="5">
        <f t="shared" si="31"/>
        <v>0</v>
      </c>
      <c r="O47" s="14"/>
      <c r="P47" s="1">
        <f>SUM(OSRRefP22_6x_0)</f>
        <v>6994.18</v>
      </c>
      <c r="Q47" s="1"/>
      <c r="R47" s="5">
        <f t="shared" si="32"/>
        <v>8.8703899810851482E-3</v>
      </c>
      <c r="S47" s="1"/>
      <c r="T47" s="1">
        <f>SUM(OSRRefT22_6x_0)</f>
        <v>0</v>
      </c>
      <c r="U47" s="1"/>
      <c r="V47" s="5">
        <f t="shared" si="33"/>
        <v>0</v>
      </c>
      <c r="W47" s="1"/>
      <c r="X47" s="1">
        <f t="shared" si="34"/>
        <v>6994.18</v>
      </c>
      <c r="Y47" s="1"/>
      <c r="Z47" s="5">
        <f t="shared" si="35"/>
        <v>0</v>
      </c>
    </row>
    <row r="48" spans="1:26" s="24" customFormat="1" hidden="1" outlineLevel="2" x14ac:dyDescent="0.25">
      <c r="A48" s="28"/>
      <c r="B48" s="11" t="str">
        <f>CONCATENATE("          ", "6399", " - ", "DONATION-ON CAMPUS")</f>
        <v xml:space="preserve">          6399 - DONATION-ON CAMPUS</v>
      </c>
      <c r="C48" s="11"/>
      <c r="D48" s="7">
        <v>4853.7700000000004</v>
      </c>
      <c r="E48" s="2"/>
      <c r="F48" s="6">
        <f t="shared" si="28"/>
        <v>8.3968928432697054E-3</v>
      </c>
      <c r="G48" s="2"/>
      <c r="H48" s="7"/>
      <c r="I48" s="2"/>
      <c r="J48" s="6">
        <f t="shared" si="29"/>
        <v>0</v>
      </c>
      <c r="K48" s="2"/>
      <c r="L48" s="7">
        <f t="shared" si="30"/>
        <v>4853.7700000000004</v>
      </c>
      <c r="M48" s="2"/>
      <c r="N48" s="6">
        <f t="shared" si="31"/>
        <v>0</v>
      </c>
      <c r="O48" s="11"/>
      <c r="P48" s="7">
        <v>6994.18</v>
      </c>
      <c r="Q48" s="2"/>
      <c r="R48" s="6">
        <f t="shared" si="32"/>
        <v>8.8703899810851482E-3</v>
      </c>
      <c r="S48" s="2"/>
      <c r="T48" s="7"/>
      <c r="U48" s="2"/>
      <c r="V48" s="6">
        <f t="shared" si="33"/>
        <v>0</v>
      </c>
      <c r="W48" s="2"/>
      <c r="X48" s="7">
        <f t="shared" si="34"/>
        <v>6994.18</v>
      </c>
      <c r="Y48" s="2"/>
      <c r="Z48" s="6">
        <f t="shared" si="35"/>
        <v>0</v>
      </c>
    </row>
    <row r="49" spans="1:26" s="27" customFormat="1" outlineLevel="1" collapsed="1" x14ac:dyDescent="0.25">
      <c r="A49" s="29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SUM(OSRRefD22_7x_0)</f>
        <v>184.94</v>
      </c>
      <c r="E49" s="1"/>
      <c r="F49" s="5">
        <f t="shared" si="28"/>
        <v>3.1994127501597713E-4</v>
      </c>
      <c r="G49" s="1"/>
      <c r="H49" s="1">
        <f>SUM(OSRRefH22_7x_0)</f>
        <v>116.72</v>
      </c>
      <c r="I49" s="1"/>
      <c r="J49" s="5">
        <f t="shared" si="29"/>
        <v>4.5934219458683015E-3</v>
      </c>
      <c r="K49" s="1"/>
      <c r="L49" s="1">
        <f t="shared" si="30"/>
        <v>68.22</v>
      </c>
      <c r="M49" s="1"/>
      <c r="N49" s="5">
        <f t="shared" si="31"/>
        <v>0.58447566826593556</v>
      </c>
      <c r="O49" s="14"/>
      <c r="P49" s="1">
        <f>SUM(OSRRefP22_7x_0)</f>
        <v>4382.6099999999997</v>
      </c>
      <c r="Q49" s="1"/>
      <c r="R49" s="5">
        <f t="shared" si="32"/>
        <v>5.558258414139124E-3</v>
      </c>
      <c r="S49" s="1"/>
      <c r="T49" s="1">
        <f>SUM(OSRRefT22_7x_0)</f>
        <v>602.94000000000005</v>
      </c>
      <c r="U49" s="1"/>
      <c r="V49" s="5">
        <f t="shared" si="33"/>
        <v>1.2588743290816174E-2</v>
      </c>
      <c r="W49" s="1"/>
      <c r="X49" s="1">
        <f t="shared" si="34"/>
        <v>3779.6699999999996</v>
      </c>
      <c r="Y49" s="1"/>
      <c r="Z49" s="5">
        <f t="shared" si="35"/>
        <v>6.2687332072843054</v>
      </c>
    </row>
    <row r="50" spans="1:26" s="24" customFormat="1" hidden="1" outlineLevel="2" x14ac:dyDescent="0.25">
      <c r="A50" s="28"/>
      <c r="B50" s="11" t="str">
        <f>CONCATENATE("          ", "6351", " - ", "EQUIPMENT RENTAL")</f>
        <v xml:space="preserve">          6351 - EQUIPMENT RENTAL</v>
      </c>
      <c r="C50" s="11"/>
      <c r="D50" s="7">
        <v>184.94</v>
      </c>
      <c r="E50" s="2"/>
      <c r="F50" s="6">
        <f t="shared" si="28"/>
        <v>3.1994127501597713E-4</v>
      </c>
      <c r="G50" s="2"/>
      <c r="H50" s="7">
        <v>116.72</v>
      </c>
      <c r="I50" s="2"/>
      <c r="J50" s="6">
        <f t="shared" si="29"/>
        <v>4.5934219458683015E-3</v>
      </c>
      <c r="K50" s="2"/>
      <c r="L50" s="7">
        <f t="shared" si="30"/>
        <v>68.22</v>
      </c>
      <c r="M50" s="2"/>
      <c r="N50" s="6">
        <f t="shared" si="31"/>
        <v>0.58447566826593556</v>
      </c>
      <c r="O50" s="11"/>
      <c r="P50" s="7">
        <v>4382.6099999999997</v>
      </c>
      <c r="Q50" s="2"/>
      <c r="R50" s="6">
        <f t="shared" si="32"/>
        <v>5.558258414139124E-3</v>
      </c>
      <c r="S50" s="2"/>
      <c r="T50" s="7">
        <v>602.94000000000005</v>
      </c>
      <c r="U50" s="2"/>
      <c r="V50" s="6">
        <f t="shared" si="33"/>
        <v>1.2588743290816174E-2</v>
      </c>
      <c r="W50" s="2"/>
      <c r="X50" s="7">
        <f t="shared" si="34"/>
        <v>3779.6699999999996</v>
      </c>
      <c r="Y50" s="2"/>
      <c r="Z50" s="6">
        <f t="shared" si="35"/>
        <v>6.2687332072843054</v>
      </c>
    </row>
    <row r="51" spans="1:26" s="27" customFormat="1" outlineLevel="1" collapsed="1" x14ac:dyDescent="0.25">
      <c r="A51" s="29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SUM(OSRRefD22_8x_0)</f>
        <v>5273</v>
      </c>
      <c r="E51" s="1"/>
      <c r="F51" s="5">
        <f t="shared" si="28"/>
        <v>9.1221495791026681E-3</v>
      </c>
      <c r="G51" s="1"/>
      <c r="H51" s="1">
        <f>SUM(OSRRefH22_8x_0)</f>
        <v>0</v>
      </c>
      <c r="I51" s="1"/>
      <c r="J51" s="5">
        <f t="shared" si="29"/>
        <v>0</v>
      </c>
      <c r="K51" s="1"/>
      <c r="L51" s="1">
        <f t="shared" si="30"/>
        <v>5273</v>
      </c>
      <c r="M51" s="1"/>
      <c r="N51" s="5">
        <f t="shared" si="31"/>
        <v>0</v>
      </c>
      <c r="O51" s="14"/>
      <c r="P51" s="1">
        <f>SUM(OSRRefP22_8x_0)</f>
        <v>7677.62</v>
      </c>
      <c r="Q51" s="1"/>
      <c r="R51" s="5">
        <f t="shared" si="32"/>
        <v>9.7371648322718257E-3</v>
      </c>
      <c r="S51" s="1"/>
      <c r="T51" s="1">
        <f>SUM(OSRRefT22_8x_0)</f>
        <v>3500.2</v>
      </c>
      <c r="U51" s="1"/>
      <c r="V51" s="5">
        <f t="shared" si="33"/>
        <v>7.3080437964830269E-2</v>
      </c>
      <c r="W51" s="1"/>
      <c r="X51" s="1">
        <f t="shared" si="34"/>
        <v>4177.42</v>
      </c>
      <c r="Y51" s="1"/>
      <c r="Z51" s="5">
        <f t="shared" si="35"/>
        <v>1.1934803725501402</v>
      </c>
    </row>
    <row r="52" spans="1:26" s="24" customFormat="1" hidden="1" outlineLevel="2" x14ac:dyDescent="0.25">
      <c r="A52" s="28"/>
      <c r="B52" s="11" t="str">
        <f>CONCATENATE("          ", "6279", " - ", "GENERAL EXPENSE")</f>
        <v xml:space="preserve">          6279 - GENERAL EXPENSE</v>
      </c>
      <c r="C52" s="11"/>
      <c r="D52" s="7">
        <v>5273</v>
      </c>
      <c r="E52" s="2"/>
      <c r="F52" s="6">
        <f t="shared" si="28"/>
        <v>9.1221495791026681E-3</v>
      </c>
      <c r="G52" s="2"/>
      <c r="H52" s="7"/>
      <c r="I52" s="2"/>
      <c r="J52" s="6">
        <f t="shared" si="29"/>
        <v>0</v>
      </c>
      <c r="K52" s="2"/>
      <c r="L52" s="7">
        <f t="shared" si="30"/>
        <v>5273</v>
      </c>
      <c r="M52" s="2"/>
      <c r="N52" s="6">
        <f t="shared" si="31"/>
        <v>0</v>
      </c>
      <c r="O52" s="11"/>
      <c r="P52" s="7">
        <v>7677.62</v>
      </c>
      <c r="Q52" s="2"/>
      <c r="R52" s="6">
        <f t="shared" si="32"/>
        <v>9.7371648322718257E-3</v>
      </c>
      <c r="S52" s="2"/>
      <c r="T52" s="7">
        <v>3500.2</v>
      </c>
      <c r="U52" s="2"/>
      <c r="V52" s="6">
        <f t="shared" si="33"/>
        <v>7.3080437964830269E-2</v>
      </c>
      <c r="W52" s="2"/>
      <c r="X52" s="7">
        <f t="shared" si="34"/>
        <v>4177.42</v>
      </c>
      <c r="Y52" s="2"/>
      <c r="Z52" s="6">
        <f t="shared" si="35"/>
        <v>1.1934803725501402</v>
      </c>
    </row>
    <row r="53" spans="1:26" s="27" customFormat="1" outlineLevel="1" collapsed="1" x14ac:dyDescent="0.25">
      <c r="A53" s="29"/>
      <c r="B53" s="14" t="str">
        <f>CONCATENATE("     ","R/H Commissions                                   ")</f>
        <v xml:space="preserve">     R/H Commissions                                   </v>
      </c>
      <c r="C53" s="14"/>
      <c r="D53" s="1">
        <f>SUM(OSRRefD22_9x_0)</f>
        <v>42285.78</v>
      </c>
      <c r="E53" s="1"/>
      <c r="F53" s="5">
        <f t="shared" si="28"/>
        <v>7.3153273322402429E-2</v>
      </c>
      <c r="G53" s="1"/>
      <c r="H53" s="1">
        <f>SUM(OSRRefH22_9x_0)</f>
        <v>0</v>
      </c>
      <c r="I53" s="1"/>
      <c r="J53" s="5">
        <f t="shared" si="29"/>
        <v>0</v>
      </c>
      <c r="K53" s="1"/>
      <c r="L53" s="1">
        <f t="shared" si="30"/>
        <v>42285.78</v>
      </c>
      <c r="M53" s="1"/>
      <c r="N53" s="5">
        <f t="shared" si="31"/>
        <v>0</v>
      </c>
      <c r="O53" s="14"/>
      <c r="P53" s="1">
        <f>SUM(OSRRefP22_9x_0)</f>
        <v>58949.95</v>
      </c>
      <c r="Q53" s="1"/>
      <c r="R53" s="5">
        <f t="shared" si="32"/>
        <v>7.4763452737200128E-2</v>
      </c>
      <c r="S53" s="1"/>
      <c r="T53" s="1">
        <f>SUM(OSRRefT22_9x_0)</f>
        <v>1295.68</v>
      </c>
      <c r="U53" s="1"/>
      <c r="V53" s="5">
        <f t="shared" si="33"/>
        <v>2.7052414679810097E-2</v>
      </c>
      <c r="W53" s="1"/>
      <c r="X53" s="1">
        <f t="shared" si="34"/>
        <v>57654.27</v>
      </c>
      <c r="Y53" s="1"/>
      <c r="Z53" s="5">
        <f t="shared" si="35"/>
        <v>44.497306433687328</v>
      </c>
    </row>
    <row r="54" spans="1:26" s="24" customFormat="1" hidden="1" outlineLevel="2" x14ac:dyDescent="0.25">
      <c r="A54" s="28"/>
      <c r="B54" s="11" t="str">
        <f>CONCATENATE("          ", "6387", " - ", "COMMISSION DUE HOUSING")</f>
        <v xml:space="preserve">          6387 - COMMISSION DUE HOUSING</v>
      </c>
      <c r="C54" s="11"/>
      <c r="D54" s="7">
        <v>42285.78</v>
      </c>
      <c r="E54" s="2"/>
      <c r="F54" s="6">
        <f t="shared" si="28"/>
        <v>7.3153273322402429E-2</v>
      </c>
      <c r="G54" s="2"/>
      <c r="H54" s="7"/>
      <c r="I54" s="2"/>
      <c r="J54" s="6">
        <f t="shared" si="29"/>
        <v>0</v>
      </c>
      <c r="K54" s="2"/>
      <c r="L54" s="7">
        <f t="shared" si="30"/>
        <v>42285.78</v>
      </c>
      <c r="M54" s="2"/>
      <c r="N54" s="6">
        <f t="shared" si="31"/>
        <v>0</v>
      </c>
      <c r="O54" s="11"/>
      <c r="P54" s="7">
        <v>58949.95</v>
      </c>
      <c r="Q54" s="2"/>
      <c r="R54" s="6">
        <f t="shared" si="32"/>
        <v>7.4763452737200128E-2</v>
      </c>
      <c r="S54" s="2"/>
      <c r="T54" s="7">
        <v>1295.68</v>
      </c>
      <c r="U54" s="2"/>
      <c r="V54" s="6">
        <f t="shared" si="33"/>
        <v>2.7052414679810097E-2</v>
      </c>
      <c r="W54" s="2"/>
      <c r="X54" s="7">
        <f t="shared" si="34"/>
        <v>57654.27</v>
      </c>
      <c r="Y54" s="2"/>
      <c r="Z54" s="6">
        <f t="shared" si="35"/>
        <v>44.497306433687328</v>
      </c>
    </row>
    <row r="55" spans="1:26" s="27" customFormat="1" outlineLevel="1" collapsed="1" x14ac:dyDescent="0.25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SUM(OSRRefD22_10x_0)</f>
        <v>111.83</v>
      </c>
      <c r="E55" s="1"/>
      <c r="F55" s="5">
        <f t="shared" si="28"/>
        <v>1.9346292194785726E-4</v>
      </c>
      <c r="G55" s="1"/>
      <c r="H55" s="1">
        <f>SUM(OSRRefH22_10x_0)</f>
        <v>72.349999999999994</v>
      </c>
      <c r="I55" s="1"/>
      <c r="J55" s="5">
        <f t="shared" si="29"/>
        <v>2.847276197597426E-3</v>
      </c>
      <c r="K55" s="1"/>
      <c r="L55" s="1">
        <f t="shared" si="30"/>
        <v>39.480000000000004</v>
      </c>
      <c r="M55" s="1"/>
      <c r="N55" s="5">
        <f t="shared" si="31"/>
        <v>0.54568071872840374</v>
      </c>
      <c r="O55" s="14"/>
      <c r="P55" s="1">
        <f>SUM(OSRRefP22_10x_0)</f>
        <v>111.83</v>
      </c>
      <c r="Q55" s="1"/>
      <c r="R55" s="5">
        <f t="shared" si="32"/>
        <v>1.4182873640437507E-4</v>
      </c>
      <c r="S55" s="1"/>
      <c r="T55" s="1">
        <f>SUM(OSRRefT22_10x_0)</f>
        <v>1157.45</v>
      </c>
      <c r="U55" s="1"/>
      <c r="V55" s="5">
        <f t="shared" si="33"/>
        <v>2.4166319902403522E-2</v>
      </c>
      <c r="W55" s="1"/>
      <c r="X55" s="1">
        <f t="shared" si="34"/>
        <v>-1045.6200000000001</v>
      </c>
      <c r="Y55" s="1"/>
      <c r="Z55" s="5">
        <f t="shared" si="35"/>
        <v>-0.90338243552637265</v>
      </c>
    </row>
    <row r="56" spans="1:26" s="24" customFormat="1" hidden="1" outlineLevel="2" x14ac:dyDescent="0.25">
      <c r="A56" s="28"/>
      <c r="B56" s="11" t="str">
        <f>CONCATENATE("          ", "6373", " - ", "MAINTENANCE CONTRACTS")</f>
        <v xml:space="preserve">          6373 - MAINTENANCE CONTRACTS</v>
      </c>
      <c r="C56" s="11"/>
      <c r="D56" s="7">
        <v>83.83</v>
      </c>
      <c r="E56" s="2"/>
      <c r="F56" s="6">
        <f t="shared" si="28"/>
        <v>1.4502366759267527E-4</v>
      </c>
      <c r="G56" s="2"/>
      <c r="H56" s="7">
        <v>72.349999999999994</v>
      </c>
      <c r="I56" s="2"/>
      <c r="J56" s="6">
        <f t="shared" si="29"/>
        <v>2.847276197597426E-3</v>
      </c>
      <c r="K56" s="2"/>
      <c r="L56" s="7">
        <f t="shared" si="30"/>
        <v>11.480000000000004</v>
      </c>
      <c r="M56" s="2"/>
      <c r="N56" s="6">
        <f t="shared" si="31"/>
        <v>0.15867311679336565</v>
      </c>
      <c r="O56" s="11"/>
      <c r="P56" s="7">
        <v>83.83</v>
      </c>
      <c r="Q56" s="2"/>
      <c r="R56" s="6">
        <f t="shared" si="32"/>
        <v>1.0631765154948371E-4</v>
      </c>
      <c r="S56" s="2"/>
      <c r="T56" s="7">
        <v>1157.45</v>
      </c>
      <c r="U56" s="2"/>
      <c r="V56" s="6">
        <f t="shared" si="33"/>
        <v>2.4166319902403522E-2</v>
      </c>
      <c r="W56" s="2"/>
      <c r="X56" s="7">
        <f t="shared" si="34"/>
        <v>-1073.6200000000001</v>
      </c>
      <c r="Y56" s="2"/>
      <c r="Z56" s="6">
        <f t="shared" si="35"/>
        <v>-0.92757354529353331</v>
      </c>
    </row>
    <row r="57" spans="1:26" s="24" customFormat="1" hidden="1" outlineLevel="2" x14ac:dyDescent="0.25">
      <c r="A57" s="28"/>
      <c r="B57" s="11" t="str">
        <f>CONCATENATE("          ", "6375", " - ", "OUTSIDE REPAIRS &amp; MAINTENANCE")</f>
        <v xml:space="preserve">          6375 - OUTSIDE REPAIRS &amp; MAINTENANCE</v>
      </c>
      <c r="C57" s="11"/>
      <c r="D57" s="7">
        <v>28</v>
      </c>
      <c r="E57" s="2"/>
      <c r="F57" s="6">
        <f t="shared" si="28"/>
        <v>4.8439254355182006E-5</v>
      </c>
      <c r="G57" s="2"/>
      <c r="H57" s="7"/>
      <c r="I57" s="2"/>
      <c r="J57" s="6">
        <f t="shared" si="29"/>
        <v>0</v>
      </c>
      <c r="K57" s="2"/>
      <c r="L57" s="7">
        <f t="shared" si="30"/>
        <v>28</v>
      </c>
      <c r="M57" s="2"/>
      <c r="N57" s="6">
        <f t="shared" si="31"/>
        <v>0</v>
      </c>
      <c r="O57" s="11"/>
      <c r="P57" s="7">
        <v>28</v>
      </c>
      <c r="Q57" s="2"/>
      <c r="R57" s="6">
        <f t="shared" si="32"/>
        <v>3.5511084854891376E-5</v>
      </c>
      <c r="S57" s="2"/>
      <c r="T57" s="7"/>
      <c r="U57" s="2"/>
      <c r="V57" s="6">
        <f t="shared" si="33"/>
        <v>0</v>
      </c>
      <c r="W57" s="2"/>
      <c r="X57" s="7">
        <f t="shared" si="34"/>
        <v>28</v>
      </c>
      <c r="Y57" s="2"/>
      <c r="Z57" s="6">
        <f t="shared" si="35"/>
        <v>0</v>
      </c>
    </row>
    <row r="58" spans="1:26" s="27" customFormat="1" outlineLevel="1" collapsed="1" x14ac:dyDescent="0.25">
      <c r="A58" s="29"/>
      <c r="B58" s="14" t="str">
        <f>CONCATENATE("     ","Services                                          ")</f>
        <v xml:space="preserve">     Services                                          </v>
      </c>
      <c r="C58" s="14"/>
      <c r="D58" s="1">
        <f>SUM(OSRRefD22_11x_0)</f>
        <v>5138.04</v>
      </c>
      <c r="E58" s="1"/>
      <c r="F58" s="5">
        <f t="shared" ref="F58:F61" si="36">IF(D$12=0,0,D58/D$12)</f>
        <v>8.8886723731106902E-3</v>
      </c>
      <c r="G58" s="1"/>
      <c r="H58" s="1">
        <f>SUM(OSRRefH22_11x_0)</f>
        <v>4375.8600000000006</v>
      </c>
      <c r="I58" s="1"/>
      <c r="J58" s="5">
        <f t="shared" ref="J58:J61" si="37">IF(H$12=0,0,H58/H$12)</f>
        <v>0.17220845918477781</v>
      </c>
      <c r="K58" s="1"/>
      <c r="L58" s="1">
        <f t="shared" ref="L58:L61" si="38">+D58-H58</f>
        <v>762.17999999999938</v>
      </c>
      <c r="M58" s="1"/>
      <c r="N58" s="5">
        <f t="shared" ref="N58:N61" si="39">IF(H58=0,0,L58/H58)</f>
        <v>0.17417833294483812</v>
      </c>
      <c r="O58" s="14"/>
      <c r="P58" s="1">
        <f>SUM(OSRRefP22_11x_0)</f>
        <v>15554.79</v>
      </c>
      <c r="Q58" s="1"/>
      <c r="R58" s="5">
        <f t="shared" ref="R58:R61" si="40">IF(P$12=0,0,P58/P$12)</f>
        <v>1.9727409556786278E-2</v>
      </c>
      <c r="S58" s="1"/>
      <c r="T58" s="1">
        <f>SUM(OSRRefT22_11x_0)</f>
        <v>20317.730000000003</v>
      </c>
      <c r="U58" s="1"/>
      <c r="V58" s="5">
        <f t="shared" ref="V58:V61" si="41">IF(T$12=0,0,T58/T$12)</f>
        <v>0.42421250410010036</v>
      </c>
      <c r="W58" s="1"/>
      <c r="X58" s="1">
        <f t="shared" ref="X58:X61" si="42">+P58-T58</f>
        <v>-4762.9400000000023</v>
      </c>
      <c r="Y58" s="1"/>
      <c r="Z58" s="5">
        <f t="shared" ref="Z58:Z61" si="43">IF(T58=0,0,X58/T58)</f>
        <v>-0.23442284152806447</v>
      </c>
    </row>
    <row r="59" spans="1:26" s="24" customFormat="1" hidden="1" outlineLevel="2" x14ac:dyDescent="0.25">
      <c r="A59" s="28"/>
      <c r="B59" s="11" t="str">
        <f>CONCATENATE("          ", "6282", " - ", "JANITORIAL/EXTERMINATOR EXPENS")</f>
        <v xml:space="preserve">          6282 - JANITORIAL/EXTERMINATOR EXPENS</v>
      </c>
      <c r="C59" s="11"/>
      <c r="D59" s="7">
        <v>417.32</v>
      </c>
      <c r="E59" s="2"/>
      <c r="F59" s="6">
        <f t="shared" si="36"/>
        <v>7.2195248669659122E-4</v>
      </c>
      <c r="G59" s="2"/>
      <c r="H59" s="7"/>
      <c r="I59" s="2"/>
      <c r="J59" s="6">
        <f t="shared" si="37"/>
        <v>0</v>
      </c>
      <c r="K59" s="2"/>
      <c r="L59" s="7">
        <f t="shared" si="38"/>
        <v>417.32</v>
      </c>
      <c r="M59" s="2"/>
      <c r="N59" s="6">
        <f t="shared" si="39"/>
        <v>0</v>
      </c>
      <c r="O59" s="11"/>
      <c r="P59" s="7">
        <v>834.84</v>
      </c>
      <c r="Q59" s="2"/>
      <c r="R59" s="6">
        <f t="shared" si="40"/>
        <v>1.0587883600091969E-3</v>
      </c>
      <c r="S59" s="2"/>
      <c r="T59" s="7">
        <v>548.02</v>
      </c>
      <c r="U59" s="2"/>
      <c r="V59" s="6">
        <f t="shared" si="41"/>
        <v>1.1442072342576506E-2</v>
      </c>
      <c r="W59" s="2"/>
      <c r="X59" s="7">
        <f t="shared" si="42"/>
        <v>286.82000000000005</v>
      </c>
      <c r="Y59" s="2"/>
      <c r="Z59" s="6">
        <f t="shared" si="43"/>
        <v>0.52337505930440509</v>
      </c>
    </row>
    <row r="60" spans="1:26" s="24" customFormat="1" hidden="1" outlineLevel="2" x14ac:dyDescent="0.25">
      <c r="A60" s="28"/>
      <c r="B60" s="11" t="str">
        <f>CONCATENATE("          ", "6285", " - ", "JANITORIAL SERVICES")</f>
        <v xml:space="preserve">          6285 - JANITORIAL SERVICES</v>
      </c>
      <c r="C60" s="11"/>
      <c r="D60" s="7">
        <v>4720.72</v>
      </c>
      <c r="E60" s="2"/>
      <c r="F60" s="6">
        <f t="shared" si="36"/>
        <v>8.1667198864140995E-3</v>
      </c>
      <c r="G60" s="2"/>
      <c r="H60" s="7">
        <v>4157.05</v>
      </c>
      <c r="I60" s="2"/>
      <c r="J60" s="6">
        <f t="shared" si="37"/>
        <v>0.16359736720417942</v>
      </c>
      <c r="K60" s="2"/>
      <c r="L60" s="7">
        <f t="shared" si="38"/>
        <v>563.67000000000007</v>
      </c>
      <c r="M60" s="2"/>
      <c r="N60" s="6">
        <f t="shared" si="39"/>
        <v>0.13559375037586752</v>
      </c>
      <c r="O60" s="11"/>
      <c r="P60" s="7">
        <v>13578.44</v>
      </c>
      <c r="Q60" s="2"/>
      <c r="R60" s="6">
        <f t="shared" si="40"/>
        <v>1.7220897679894688E-2</v>
      </c>
      <c r="S60" s="2"/>
      <c r="T60" s="7">
        <v>16628.2</v>
      </c>
      <c r="U60" s="2"/>
      <c r="V60" s="6">
        <f t="shared" si="41"/>
        <v>0.34717905793005854</v>
      </c>
      <c r="W60" s="2"/>
      <c r="X60" s="7">
        <f t="shared" si="42"/>
        <v>-3049.76</v>
      </c>
      <c r="Y60" s="2"/>
      <c r="Z60" s="6">
        <f t="shared" si="43"/>
        <v>-0.18340890775910804</v>
      </c>
    </row>
    <row r="61" spans="1:26" s="24" customFormat="1" hidden="1" outlineLevel="2" x14ac:dyDescent="0.25">
      <c r="A61" s="28"/>
      <c r="B61" s="11" t="str">
        <f>CONCATENATE("          ", "6286", " - ", "LAUNDRY EXPENSE")</f>
        <v xml:space="preserve">          6286 - LAUNDRY EXPENSE</v>
      </c>
      <c r="C61" s="11"/>
      <c r="D61" s="7"/>
      <c r="E61" s="2"/>
      <c r="F61" s="6">
        <f t="shared" si="36"/>
        <v>0</v>
      </c>
      <c r="G61" s="2"/>
      <c r="H61" s="7">
        <v>218.81</v>
      </c>
      <c r="I61" s="2"/>
      <c r="J61" s="6">
        <f t="shared" si="37"/>
        <v>8.6110919805983798E-3</v>
      </c>
      <c r="K61" s="2"/>
      <c r="L61" s="7">
        <f t="shared" si="38"/>
        <v>-218.81</v>
      </c>
      <c r="M61" s="2"/>
      <c r="N61" s="6">
        <f t="shared" si="39"/>
        <v>-1</v>
      </c>
      <c r="O61" s="11"/>
      <c r="P61" s="7">
        <v>1141.51</v>
      </c>
      <c r="Q61" s="2"/>
      <c r="R61" s="6">
        <f t="shared" si="40"/>
        <v>1.4477235168823947E-3</v>
      </c>
      <c r="S61" s="2"/>
      <c r="T61" s="7">
        <v>3141.51</v>
      </c>
      <c r="U61" s="2"/>
      <c r="V61" s="6">
        <f t="shared" si="41"/>
        <v>6.5591373827465285E-2</v>
      </c>
      <c r="W61" s="2"/>
      <c r="X61" s="7">
        <f t="shared" si="42"/>
        <v>-2000.0000000000002</v>
      </c>
      <c r="Y61" s="2"/>
      <c r="Z61" s="6">
        <f t="shared" si="43"/>
        <v>-0.63663652192735343</v>
      </c>
    </row>
    <row r="62" spans="1:26" s="27" customFormat="1" outlineLevel="1" collapsed="1" x14ac:dyDescent="0.25">
      <c r="A62" s="29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SUM(OSRRefD22_12x_0)</f>
        <v>10652.77</v>
      </c>
      <c r="E62" s="1"/>
      <c r="F62" s="5">
        <f t="shared" ref="F62:F69" si="44">IF(D$12=0,0,D62/D$12)</f>
        <v>1.8429008414901863E-2</v>
      </c>
      <c r="G62" s="1"/>
      <c r="H62" s="1">
        <f>SUM(OSRRefH22_12x_0)</f>
        <v>1628.65</v>
      </c>
      <c r="I62" s="1"/>
      <c r="J62" s="5">
        <f t="shared" ref="J62:J69" si="45">IF(H$12=0,0,H62/H$12)</f>
        <v>6.4094213949095355E-2</v>
      </c>
      <c r="K62" s="1"/>
      <c r="L62" s="1">
        <f t="shared" ref="L62:L69" si="46">+D62-H62</f>
        <v>9024.1200000000008</v>
      </c>
      <c r="M62" s="1"/>
      <c r="N62" s="5">
        <f t="shared" ref="N62:N69" si="47">IF(H62=0,0,L62/H62)</f>
        <v>5.5408589936450436</v>
      </c>
      <c r="O62" s="14"/>
      <c r="P62" s="1">
        <f>SUM(OSRRefP22_12x_0)</f>
        <v>14767.48</v>
      </c>
      <c r="Q62" s="1"/>
      <c r="R62" s="5">
        <f t="shared" ref="R62:R69" si="48">IF(P$12=0,0,P62/P$12)</f>
        <v>1.8728901263318259E-2</v>
      </c>
      <c r="S62" s="1"/>
      <c r="T62" s="1">
        <f>SUM(OSRRefT22_12x_0)</f>
        <v>7986.3899999999994</v>
      </c>
      <c r="U62" s="1"/>
      <c r="V62" s="5">
        <f t="shared" ref="V62:V69" si="49">IF(T$12=0,0,T62/T$12)</f>
        <v>0.16674729414260353</v>
      </c>
      <c r="W62" s="1"/>
      <c r="X62" s="1">
        <f t="shared" ref="X62:X69" si="50">+P62-T62</f>
        <v>6781.09</v>
      </c>
      <c r="Y62" s="1"/>
      <c r="Z62" s="5">
        <f t="shared" ref="Z62:Z69" si="51">IF(T62=0,0,X62/T62)</f>
        <v>0.84908074862359595</v>
      </c>
    </row>
    <row r="63" spans="1:26" s="24" customFormat="1" hidden="1" outlineLevel="2" x14ac:dyDescent="0.25">
      <c r="A63" s="28"/>
      <c r="B63" s="11" t="str">
        <f>CONCATENATE("          ", "6234", " - ", "EXPENDABLE SUPPLIES &amp; EQUIPMEN")</f>
        <v xml:space="preserve">          6234 - EXPENDABLE SUPPLIES &amp; EQUIPMEN</v>
      </c>
      <c r="C63" s="11"/>
      <c r="D63" s="7">
        <v>21.98</v>
      </c>
      <c r="E63" s="2"/>
      <c r="F63" s="6">
        <f t="shared" si="44"/>
        <v>3.8024814668817873E-5</v>
      </c>
      <c r="G63" s="2"/>
      <c r="H63" s="7"/>
      <c r="I63" s="2"/>
      <c r="J63" s="6">
        <f t="shared" si="45"/>
        <v>0</v>
      </c>
      <c r="K63" s="2"/>
      <c r="L63" s="7">
        <f t="shared" si="46"/>
        <v>21.98</v>
      </c>
      <c r="M63" s="2"/>
      <c r="N63" s="6">
        <f t="shared" si="47"/>
        <v>0</v>
      </c>
      <c r="O63" s="11"/>
      <c r="P63" s="7">
        <v>21.98</v>
      </c>
      <c r="Q63" s="2"/>
      <c r="R63" s="6">
        <f t="shared" si="48"/>
        <v>2.787620161108973E-5</v>
      </c>
      <c r="S63" s="2"/>
      <c r="T63" s="7"/>
      <c r="U63" s="2"/>
      <c r="V63" s="6">
        <f t="shared" si="49"/>
        <v>0</v>
      </c>
      <c r="W63" s="2"/>
      <c r="X63" s="7">
        <f t="shared" si="50"/>
        <v>21.98</v>
      </c>
      <c r="Y63" s="2"/>
      <c r="Z63" s="6">
        <f t="shared" si="51"/>
        <v>0</v>
      </c>
    </row>
    <row r="64" spans="1:26" s="24" customFormat="1" hidden="1" outlineLevel="2" x14ac:dyDescent="0.25">
      <c r="A64" s="28"/>
      <c r="B64" s="11" t="str">
        <f>CONCATENATE("          ", "6235", " - ", "COVID-19 EXPENSES")</f>
        <v xml:space="preserve">          6235 - COVID-19 EXPENSES</v>
      </c>
      <c r="C64" s="11"/>
      <c r="D64" s="7"/>
      <c r="E64" s="2"/>
      <c r="F64" s="6">
        <f t="shared" si="44"/>
        <v>0</v>
      </c>
      <c r="G64" s="2"/>
      <c r="H64" s="7">
        <v>265.7</v>
      </c>
      <c r="I64" s="2"/>
      <c r="J64" s="6">
        <f t="shared" si="45"/>
        <v>1.0456410306864356E-2</v>
      </c>
      <c r="K64" s="2"/>
      <c r="L64" s="7">
        <f t="shared" si="46"/>
        <v>-265.7</v>
      </c>
      <c r="M64" s="2"/>
      <c r="N64" s="6">
        <f t="shared" si="47"/>
        <v>-1</v>
      </c>
      <c r="O64" s="11"/>
      <c r="P64" s="7"/>
      <c r="Q64" s="2"/>
      <c r="R64" s="6">
        <f t="shared" si="48"/>
        <v>0</v>
      </c>
      <c r="S64" s="2"/>
      <c r="T64" s="7">
        <v>1375.08</v>
      </c>
      <c r="U64" s="2"/>
      <c r="V64" s="6">
        <f t="shared" si="49"/>
        <v>2.8710201884657682E-2</v>
      </c>
      <c r="W64" s="2"/>
      <c r="X64" s="7">
        <f t="shared" si="50"/>
        <v>-1375.08</v>
      </c>
      <c r="Y64" s="2"/>
      <c r="Z64" s="6">
        <f t="shared" si="51"/>
        <v>-1</v>
      </c>
    </row>
    <row r="65" spans="1:26" s="24" customFormat="1" hidden="1" outlineLevel="2" x14ac:dyDescent="0.25">
      <c r="A65" s="28"/>
      <c r="B65" s="11" t="str">
        <f>CONCATENATE("          ", "6237", " - ", "JANITORIAL SUPPLIES")</f>
        <v xml:space="preserve">          6237 - JANITORIAL SUPPLIES</v>
      </c>
      <c r="C65" s="11"/>
      <c r="D65" s="7">
        <v>4548.71</v>
      </c>
      <c r="E65" s="2"/>
      <c r="F65" s="6">
        <f t="shared" si="44"/>
        <v>7.8691471670699967E-3</v>
      </c>
      <c r="G65" s="2"/>
      <c r="H65" s="7">
        <v>1362.95</v>
      </c>
      <c r="I65" s="2"/>
      <c r="J65" s="6">
        <f t="shared" si="45"/>
        <v>5.3637803642230988E-2</v>
      </c>
      <c r="K65" s="2"/>
      <c r="L65" s="7">
        <f t="shared" si="46"/>
        <v>3185.76</v>
      </c>
      <c r="M65" s="2"/>
      <c r="N65" s="6">
        <f t="shared" si="47"/>
        <v>2.3374004915807625</v>
      </c>
      <c r="O65" s="11"/>
      <c r="P65" s="7">
        <v>5452.04</v>
      </c>
      <c r="Q65" s="2"/>
      <c r="R65" s="6">
        <f t="shared" si="48"/>
        <v>6.914566252580784E-3</v>
      </c>
      <c r="S65" s="2"/>
      <c r="T65" s="7">
        <v>2550.9899999999998</v>
      </c>
      <c r="U65" s="2"/>
      <c r="V65" s="6">
        <f t="shared" si="49"/>
        <v>5.3261946872722239E-2</v>
      </c>
      <c r="W65" s="2"/>
      <c r="X65" s="7">
        <f t="shared" si="50"/>
        <v>2901.05</v>
      </c>
      <c r="Y65" s="2"/>
      <c r="Z65" s="6">
        <f t="shared" si="51"/>
        <v>1.1372251557238564</v>
      </c>
    </row>
    <row r="66" spans="1:26" s="24" customFormat="1" hidden="1" outlineLevel="2" x14ac:dyDescent="0.25">
      <c r="A66" s="28"/>
      <c r="B66" s="11" t="str">
        <f>CONCATENATE("          ", "6239", " - ", "KITCHEN SUPPLIES")</f>
        <v xml:space="preserve">          6239 - KITCHEN SUPPLIES</v>
      </c>
      <c r="C66" s="11"/>
      <c r="D66" s="7">
        <v>2699.53</v>
      </c>
      <c r="E66" s="2"/>
      <c r="F66" s="6">
        <f t="shared" si="44"/>
        <v>4.6701150110515883E-3</v>
      </c>
      <c r="G66" s="2"/>
      <c r="H66" s="7"/>
      <c r="I66" s="2"/>
      <c r="J66" s="6">
        <f t="shared" si="45"/>
        <v>0</v>
      </c>
      <c r="K66" s="2"/>
      <c r="L66" s="7">
        <f t="shared" si="46"/>
        <v>2699.53</v>
      </c>
      <c r="M66" s="2"/>
      <c r="N66" s="6">
        <f t="shared" si="47"/>
        <v>0</v>
      </c>
      <c r="O66" s="11"/>
      <c r="P66" s="7">
        <v>3100.09</v>
      </c>
      <c r="Q66" s="2"/>
      <c r="R66" s="6">
        <f t="shared" si="48"/>
        <v>3.9316985374214354E-3</v>
      </c>
      <c r="S66" s="2"/>
      <c r="T66" s="7">
        <v>1031.07</v>
      </c>
      <c r="U66" s="2"/>
      <c r="V66" s="6">
        <f t="shared" si="49"/>
        <v>2.1527640469801025E-2</v>
      </c>
      <c r="W66" s="2"/>
      <c r="X66" s="7">
        <f t="shared" si="50"/>
        <v>2069.0200000000004</v>
      </c>
      <c r="Y66" s="2"/>
      <c r="Z66" s="6">
        <f t="shared" si="51"/>
        <v>2.0066726798374508</v>
      </c>
    </row>
    <row r="67" spans="1:26" s="24" customFormat="1" hidden="1" outlineLevel="2" x14ac:dyDescent="0.25">
      <c r="A67" s="28"/>
      <c r="B67" s="11" t="str">
        <f>CONCATENATE("          ", "6241", " - ", "OFFICE EXPENSE")</f>
        <v xml:space="preserve">          6241 - OFFICE EXPENSE</v>
      </c>
      <c r="C67" s="11"/>
      <c r="D67" s="7">
        <v>1157.3399999999999</v>
      </c>
      <c r="E67" s="2"/>
      <c r="F67" s="6">
        <f t="shared" si="44"/>
        <v>2.0021673798366548E-3</v>
      </c>
      <c r="G67" s="2"/>
      <c r="H67" s="7"/>
      <c r="I67" s="2"/>
      <c r="J67" s="6">
        <f t="shared" si="45"/>
        <v>0</v>
      </c>
      <c r="K67" s="2"/>
      <c r="L67" s="7">
        <f t="shared" si="46"/>
        <v>1157.3399999999999</v>
      </c>
      <c r="M67" s="2"/>
      <c r="N67" s="6">
        <f t="shared" si="47"/>
        <v>0</v>
      </c>
      <c r="O67" s="11"/>
      <c r="P67" s="7">
        <v>1723.74</v>
      </c>
      <c r="Q67" s="2"/>
      <c r="R67" s="6">
        <f t="shared" si="48"/>
        <v>2.1861384788489447E-3</v>
      </c>
      <c r="S67" s="2"/>
      <c r="T67" s="7">
        <v>19.7</v>
      </c>
      <c r="U67" s="2"/>
      <c r="V67" s="6">
        <f t="shared" si="49"/>
        <v>4.1131496140425018E-4</v>
      </c>
      <c r="W67" s="2"/>
      <c r="X67" s="7">
        <f t="shared" si="50"/>
        <v>1704.04</v>
      </c>
      <c r="Y67" s="2"/>
      <c r="Z67" s="6">
        <f t="shared" si="51"/>
        <v>86.499492385786809</v>
      </c>
    </row>
    <row r="68" spans="1:26" s="24" customFormat="1" hidden="1" outlineLevel="2" x14ac:dyDescent="0.25">
      <c r="A68" s="28"/>
      <c r="B68" s="11" t="str">
        <f>CONCATENATE("          ", "6243", " - ", "PAPER SUPPLIES")</f>
        <v xml:space="preserve">          6243 - PAPER SUPPLIES</v>
      </c>
      <c r="C68" s="11"/>
      <c r="D68" s="7">
        <v>2097.87</v>
      </c>
      <c r="E68" s="2"/>
      <c r="F68" s="6">
        <f t="shared" si="44"/>
        <v>3.6292592333609167E-3</v>
      </c>
      <c r="G68" s="2"/>
      <c r="H68" s="7"/>
      <c r="I68" s="2"/>
      <c r="J68" s="6">
        <f t="shared" si="45"/>
        <v>0</v>
      </c>
      <c r="K68" s="2"/>
      <c r="L68" s="7">
        <f t="shared" si="46"/>
        <v>2097.87</v>
      </c>
      <c r="M68" s="2"/>
      <c r="N68" s="6">
        <f t="shared" si="47"/>
        <v>0</v>
      </c>
      <c r="O68" s="11"/>
      <c r="P68" s="7">
        <v>4342.29</v>
      </c>
      <c r="Q68" s="2"/>
      <c r="R68" s="6">
        <f t="shared" si="48"/>
        <v>5.5071224519480811E-3</v>
      </c>
      <c r="S68" s="2"/>
      <c r="T68" s="7">
        <v>3009.55</v>
      </c>
      <c r="U68" s="2"/>
      <c r="V68" s="6">
        <f t="shared" si="49"/>
        <v>6.2836189954018337E-2</v>
      </c>
      <c r="W68" s="2"/>
      <c r="X68" s="7">
        <f t="shared" si="50"/>
        <v>1332.7399999999998</v>
      </c>
      <c r="Y68" s="2"/>
      <c r="Z68" s="6">
        <f t="shared" si="51"/>
        <v>0.44283696898207364</v>
      </c>
    </row>
    <row r="69" spans="1:26" s="24" customFormat="1" hidden="1" outlineLevel="2" x14ac:dyDescent="0.25">
      <c r="A69" s="28"/>
      <c r="B69" s="11" t="str">
        <f>CONCATENATE("          ", "6247", " - ", "STORE SUPPLIES")</f>
        <v xml:space="preserve">          6247 - STORE SUPPLIES</v>
      </c>
      <c r="C69" s="11"/>
      <c r="D69" s="7">
        <v>127.34</v>
      </c>
      <c r="E69" s="2"/>
      <c r="F69" s="6">
        <f t="shared" si="44"/>
        <v>2.2029480891388843E-4</v>
      </c>
      <c r="G69" s="2"/>
      <c r="H69" s="7"/>
      <c r="I69" s="2"/>
      <c r="J69" s="6">
        <f t="shared" si="45"/>
        <v>0</v>
      </c>
      <c r="K69" s="2"/>
      <c r="L69" s="7">
        <f t="shared" si="46"/>
        <v>127.34</v>
      </c>
      <c r="M69" s="2"/>
      <c r="N69" s="6">
        <f t="shared" si="47"/>
        <v>0</v>
      </c>
      <c r="O69" s="11"/>
      <c r="P69" s="7">
        <v>127.34</v>
      </c>
      <c r="Q69" s="2"/>
      <c r="R69" s="6">
        <f t="shared" si="48"/>
        <v>1.6149934090792383E-4</v>
      </c>
      <c r="S69" s="2"/>
      <c r="T69" s="7"/>
      <c r="U69" s="2"/>
      <c r="V69" s="6">
        <f t="shared" si="49"/>
        <v>0</v>
      </c>
      <c r="W69" s="2"/>
      <c r="X69" s="7">
        <f t="shared" si="50"/>
        <v>127.34</v>
      </c>
      <c r="Y69" s="2"/>
      <c r="Z69" s="6">
        <f t="shared" si="51"/>
        <v>0</v>
      </c>
    </row>
    <row r="70" spans="1:26" s="27" customFormat="1" outlineLevel="1" collapsed="1" x14ac:dyDescent="0.25">
      <c r="A70" s="29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SUM(OSRRefD22_13x_0)</f>
        <v>239</v>
      </c>
      <c r="E70" s="1"/>
      <c r="F70" s="5">
        <f t="shared" ref="F70:F71" si="52">IF(D$12=0,0,D70/D$12)</f>
        <v>4.1346363538887496E-4</v>
      </c>
      <c r="G70" s="1"/>
      <c r="H70" s="1">
        <f>SUM(OSRRefH22_13x_0)</f>
        <v>225</v>
      </c>
      <c r="I70" s="1"/>
      <c r="J70" s="5">
        <f t="shared" ref="J70:J71" si="53">IF(H$12=0,0,H70/H$12)</f>
        <v>8.8546944638482495E-3</v>
      </c>
      <c r="K70" s="1"/>
      <c r="L70" s="1">
        <f t="shared" ref="L70:L71" si="54">+D70-H70</f>
        <v>14</v>
      </c>
      <c r="M70" s="1"/>
      <c r="N70" s="5">
        <f t="shared" ref="N70:N71" si="55">IF(H70=0,0,L70/H70)</f>
        <v>6.222222222222222E-2</v>
      </c>
      <c r="O70" s="14"/>
      <c r="P70" s="1">
        <f>SUM(OSRRefP22_13x_0)</f>
        <v>567</v>
      </c>
      <c r="Q70" s="1"/>
      <c r="R70" s="5">
        <f t="shared" ref="R70:R71" si="56">IF(P$12=0,0,P70/P$12)</f>
        <v>7.190994683115503E-4</v>
      </c>
      <c r="S70" s="1"/>
      <c r="T70" s="1">
        <f>SUM(OSRRefT22_13x_0)</f>
        <v>503</v>
      </c>
      <c r="U70" s="1"/>
      <c r="V70" s="5">
        <f t="shared" ref="V70:V71" si="57">IF(T$12=0,0,T70/T$12)</f>
        <v>1.0502102821641515E-2</v>
      </c>
      <c r="W70" s="1"/>
      <c r="X70" s="1">
        <f t="shared" ref="X70:X71" si="58">+P70-T70</f>
        <v>64</v>
      </c>
      <c r="Y70" s="1"/>
      <c r="Z70" s="5">
        <f t="shared" ref="Z70:Z71" si="59">IF(T70=0,0,X70/T70)</f>
        <v>0.1272365805168986</v>
      </c>
    </row>
    <row r="71" spans="1:26" s="24" customFormat="1" hidden="1" outlineLevel="2" x14ac:dyDescent="0.25">
      <c r="A71" s="28"/>
      <c r="B71" s="11" t="str">
        <f>CONCATENATE("          ", "6309", " - ", "TELEPHONE")</f>
        <v xml:space="preserve">          6309 - TELEPHONE</v>
      </c>
      <c r="C71" s="11"/>
      <c r="D71" s="7">
        <v>239</v>
      </c>
      <c r="E71" s="2"/>
      <c r="F71" s="6">
        <f t="shared" si="52"/>
        <v>4.1346363538887496E-4</v>
      </c>
      <c r="G71" s="2"/>
      <c r="H71" s="7">
        <v>225</v>
      </c>
      <c r="I71" s="2"/>
      <c r="J71" s="6">
        <f t="shared" si="53"/>
        <v>8.8546944638482495E-3</v>
      </c>
      <c r="K71" s="2"/>
      <c r="L71" s="7">
        <f t="shared" si="54"/>
        <v>14</v>
      </c>
      <c r="M71" s="2"/>
      <c r="N71" s="6">
        <f t="shared" si="55"/>
        <v>6.222222222222222E-2</v>
      </c>
      <c r="O71" s="11"/>
      <c r="P71" s="7">
        <v>567</v>
      </c>
      <c r="Q71" s="2"/>
      <c r="R71" s="6">
        <f t="shared" si="56"/>
        <v>7.190994683115503E-4</v>
      </c>
      <c r="S71" s="2"/>
      <c r="T71" s="7">
        <v>503</v>
      </c>
      <c r="U71" s="2"/>
      <c r="V71" s="6">
        <f t="shared" si="57"/>
        <v>1.0502102821641515E-2</v>
      </c>
      <c r="W71" s="2"/>
      <c r="X71" s="7">
        <f t="shared" si="58"/>
        <v>64</v>
      </c>
      <c r="Y71" s="2"/>
      <c r="Z71" s="6">
        <f t="shared" si="59"/>
        <v>0.1272365805168986</v>
      </c>
    </row>
    <row r="72" spans="1:26" s="54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x14ac:dyDescent="0.25">
      <c r="A73" s="10"/>
      <c r="B73" s="26" t="s">
        <v>292</v>
      </c>
      <c r="C73" s="10"/>
      <c r="D73" s="4">
        <f>SUM(0)</f>
        <v>0</v>
      </c>
      <c r="E73" s="4"/>
      <c r="F73" s="12">
        <f>IF(D$12=0,0,D73/D$12)</f>
        <v>0</v>
      </c>
      <c r="G73" s="4"/>
      <c r="H73" s="4">
        <f>SUM(0)</f>
        <v>0</v>
      </c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>
        <f>SUM(0)</f>
        <v>0</v>
      </c>
      <c r="Q73" s="4"/>
      <c r="R73" s="12">
        <f>IF(P$12=0,0,P73/P$12)</f>
        <v>0</v>
      </c>
      <c r="S73" s="4"/>
      <c r="T73" s="4">
        <f>SUM(0)</f>
        <v>0</v>
      </c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5" t="s">
        <v>276</v>
      </c>
      <c r="C75" s="25"/>
      <c r="D75" s="21">
        <f>+D21-D23+D73</f>
        <v>281582.01000000013</v>
      </c>
      <c r="E75" s="13"/>
      <c r="F75" s="22">
        <f>IF(D$12=0,0,D75/D$12)</f>
        <v>0.48712937872262174</v>
      </c>
      <c r="G75" s="13"/>
      <c r="H75" s="21">
        <f>+H21-H23+H73</f>
        <v>-26482.909999999989</v>
      </c>
      <c r="I75" s="13"/>
      <c r="J75" s="22">
        <f>IF(H$12=0,0,H75/H$12)</f>
        <v>-1.0422136736159617</v>
      </c>
      <c r="K75" s="16"/>
      <c r="L75" s="21">
        <f>+D75-H75</f>
        <v>308064.9200000001</v>
      </c>
      <c r="M75" s="16"/>
      <c r="N75" s="22">
        <f>IF(H75=0,0,L75/H75)</f>
        <v>-11.632593245983928</v>
      </c>
      <c r="O75" s="26"/>
      <c r="P75" s="21">
        <f>+P21-P23+P73</f>
        <v>308081.22999999992</v>
      </c>
      <c r="Q75" s="13"/>
      <c r="R75" s="22">
        <f>IF(P$12=0,0,P75/P$12)</f>
        <v>0.39072495359747511</v>
      </c>
      <c r="S75" s="13"/>
      <c r="T75" s="21">
        <f>+T21-T23+T73</f>
        <v>-142636.68</v>
      </c>
      <c r="U75" s="13"/>
      <c r="V75" s="22">
        <f>IF(T$12=0,0,T75/T$12)</f>
        <v>-2.9781015496969734</v>
      </c>
      <c r="W75" s="16"/>
      <c r="X75" s="21">
        <f>+P75-T75</f>
        <v>450717.90999999992</v>
      </c>
      <c r="Y75" s="16"/>
      <c r="Z75" s="22">
        <f>IF(T75=0,0,X75/T75)</f>
        <v>-3.1599018569417061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1"/>
      <c r="B77" s="10" t="s">
        <v>127</v>
      </c>
      <c r="C77" s="10"/>
      <c r="D77" s="4">
        <v>66148.289999999994</v>
      </c>
      <c r="E77" s="4"/>
      <c r="F77" s="12">
        <f>IF(D$12=0,0,D77/D$12)</f>
        <v>0.11443478015965507</v>
      </c>
      <c r="G77" s="4"/>
      <c r="H77" s="4">
        <v>5076.54</v>
      </c>
      <c r="I77" s="4"/>
      <c r="J77" s="12">
        <f>IF(H$12=0,0,H77/H$12)</f>
        <v>0.19978315837112975</v>
      </c>
      <c r="K77" s="4"/>
      <c r="L77" s="4">
        <f>+D77-H77</f>
        <v>61071.749999999993</v>
      </c>
      <c r="M77" s="4"/>
      <c r="N77" s="12">
        <f>IF(H77=0,0,L77/H77)</f>
        <v>12.030191823564868</v>
      </c>
      <c r="O77" s="10"/>
      <c r="P77" s="4">
        <v>97595.37</v>
      </c>
      <c r="Q77" s="4"/>
      <c r="R77" s="12">
        <f>IF(P$12=0,0,P77/P$12)</f>
        <v>0.12377562376837571</v>
      </c>
      <c r="S77" s="4"/>
      <c r="T77" s="4">
        <v>8872.82</v>
      </c>
      <c r="U77" s="4"/>
      <c r="V77" s="12">
        <f>IF(T$12=0,0,T77/T$12)</f>
        <v>0.18525500588055122</v>
      </c>
      <c r="W77" s="4"/>
      <c r="X77" s="4">
        <f>+P77-T77</f>
        <v>88722.549999999988</v>
      </c>
      <c r="Y77" s="4"/>
      <c r="Z77" s="12">
        <f>IF(T77=0,0,X77/T77)</f>
        <v>9.9993632238679471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5" t="s">
        <v>125</v>
      </c>
      <c r="C79" s="25"/>
      <c r="D79" s="33">
        <f>+D75-D77</f>
        <v>215433.72000000015</v>
      </c>
      <c r="E79" s="13"/>
      <c r="F79" s="35">
        <f>IF(D$12=0,0,D79/D$12)</f>
        <v>0.37269459856296666</v>
      </c>
      <c r="G79" s="13"/>
      <c r="H79" s="33">
        <f>+H75-H77</f>
        <v>-31559.44999999999</v>
      </c>
      <c r="I79" s="13"/>
      <c r="J79" s="35">
        <f>IF(H$12=0,0,H79/H$12)</f>
        <v>-1.2419968319870913</v>
      </c>
      <c r="K79" s="16"/>
      <c r="L79" s="33">
        <f>D79-H79</f>
        <v>246993.17000000013</v>
      </c>
      <c r="M79" s="16"/>
      <c r="N79" s="35">
        <f>IF(H79=0,0,L79/H79)</f>
        <v>-7.8262824605625321</v>
      </c>
      <c r="O79" s="26"/>
      <c r="P79" s="33">
        <f>+P75-P77</f>
        <v>210485.85999999993</v>
      </c>
      <c r="Q79" s="13"/>
      <c r="R79" s="35">
        <f>IF(P$12=0,0,P79/P$12)</f>
        <v>0.26694932982909941</v>
      </c>
      <c r="S79" s="13"/>
      <c r="T79" s="33">
        <f>+T75-T77</f>
        <v>-151509.5</v>
      </c>
      <c r="U79" s="13"/>
      <c r="V79" s="35">
        <f>IF(T$12=0,0,T79/T$12)</f>
        <v>-3.1633565555775252</v>
      </c>
      <c r="W79" s="16"/>
      <c r="X79" s="33">
        <f>P79-T79</f>
        <v>361995.35999999993</v>
      </c>
      <c r="Y79" s="16"/>
      <c r="Z79" s="35">
        <f>IF(T79=0,0,X79/T79)</f>
        <v>-2.3892584953418758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293</v>
      </c>
      <c r="C82" s="25"/>
      <c r="D82" s="31">
        <f>SUM(D79:D81)</f>
        <v>215433.72000000015</v>
      </c>
      <c r="E82" s="13"/>
      <c r="F82" s="32">
        <f>IF(D$12=0,0,D82/D$12)</f>
        <v>0.37269459856296666</v>
      </c>
      <c r="G82" s="13"/>
      <c r="H82" s="31">
        <f>SUM(H79:H81)</f>
        <v>-31559.44999999999</v>
      </c>
      <c r="I82" s="13"/>
      <c r="J82" s="32">
        <f>IF(H$12=0,0,H82/H$12)</f>
        <v>-1.2419968319870913</v>
      </c>
      <c r="K82" s="16"/>
      <c r="L82" s="31">
        <f>+D82-H82</f>
        <v>246993.17000000013</v>
      </c>
      <c r="M82" s="16"/>
      <c r="N82" s="32">
        <f>IF(H82=0,0,L82/H82)</f>
        <v>-7.8262824605625321</v>
      </c>
      <c r="O82" s="26"/>
      <c r="P82" s="31">
        <f>SUM(P79:P81)</f>
        <v>210485.85999999993</v>
      </c>
      <c r="Q82" s="13"/>
      <c r="R82" s="32">
        <f>IF(P$12=0,0,P82/P$12)</f>
        <v>0.26694932982909941</v>
      </c>
      <c r="S82" s="13"/>
      <c r="T82" s="31">
        <f>SUM(T79:T81)</f>
        <v>-151509.5</v>
      </c>
      <c r="U82" s="13"/>
      <c r="V82" s="32">
        <f>IF(T$12=0,0,T82/T$12)</f>
        <v>-3.1633565555775252</v>
      </c>
      <c r="W82" s="16"/>
      <c r="X82" s="31">
        <f>+P82-T82</f>
        <v>361995.35999999993</v>
      </c>
      <c r="Y82" s="16"/>
      <c r="Z82" s="32">
        <f>IF(T82=0,0,X82/T82)</f>
        <v>-2.3892584953418758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58">
        <v>44481.985668518515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3" t="s">
        <v>56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2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138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","435", " - ", "Ground Floor Coffee House")</f>
        <v>Department 435 - Ground Floor Coffee House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294</v>
      </c>
      <c r="C18" s="10"/>
      <c r="D18" s="20">
        <f>SUM(OSRRefD22x_0)</f>
        <v>0</v>
      </c>
      <c r="E18" s="20"/>
      <c r="F18" s="30">
        <f t="shared" ref="F18:F20" si="0">IF(D$12=0,0,D18/D$12)</f>
        <v>0</v>
      </c>
      <c r="G18" s="20"/>
      <c r="H18" s="20">
        <f>SUM(OSRRefH22x_0)</f>
        <v>0</v>
      </c>
      <c r="I18" s="20"/>
      <c r="J18" s="30">
        <f t="shared" ref="J18:J20" si="1">IF(H$12=0,0,H18/H$12)</f>
        <v>0</v>
      </c>
      <c r="K18" s="4"/>
      <c r="L18" s="20">
        <f t="shared" ref="L18:L20" si="2">+D18-H18</f>
        <v>0</v>
      </c>
      <c r="M18" s="4"/>
      <c r="N18" s="30">
        <f t="shared" ref="N18:N20" si="3">IF(H18=0,0,L18/H18)</f>
        <v>0</v>
      </c>
      <c r="O18" s="10"/>
      <c r="P18" s="20">
        <f>SUM(OSRRefP22x_0)</f>
        <v>0</v>
      </c>
      <c r="Q18" s="20"/>
      <c r="R18" s="30">
        <f t="shared" ref="R18:R20" si="4">IF(P$12=0,0,P18/P$12)</f>
        <v>0</v>
      </c>
      <c r="S18" s="20"/>
      <c r="T18" s="20">
        <f>SUM(OSRRefT22x_0)</f>
        <v>151</v>
      </c>
      <c r="U18" s="20"/>
      <c r="V18" s="30">
        <f t="shared" ref="V18:V20" si="5">IF(T$12=0,0,T18/T$12)</f>
        <v>0</v>
      </c>
      <c r="W18" s="4"/>
      <c r="X18" s="20">
        <f t="shared" ref="X18:X20" si="6">+P18-T18</f>
        <v>-151</v>
      </c>
      <c r="Y18" s="4"/>
      <c r="Z18" s="30">
        <f t="shared" ref="Z18:Z20" si="7">IF(T18=0,0,X18/T18)</f>
        <v>-1</v>
      </c>
    </row>
    <row r="19" spans="1:26" s="27" customFormat="1" outlineLevel="1" collapsed="1" x14ac:dyDescent="0.25">
      <c r="A19" s="29"/>
      <c r="B19" s="14" t="str">
        <f>CONCATENATE("     ","Telephone/Data Lines                              ")</f>
        <v xml:space="preserve">     Telephone/Data Lines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151</v>
      </c>
      <c r="U19" s="1"/>
      <c r="V19" s="5">
        <f t="shared" si="5"/>
        <v>0</v>
      </c>
      <c r="W19" s="1"/>
      <c r="X19" s="1">
        <f t="shared" si="6"/>
        <v>-151</v>
      </c>
      <c r="Y19" s="1"/>
      <c r="Z19" s="5">
        <f t="shared" si="7"/>
        <v>-1</v>
      </c>
    </row>
    <row r="20" spans="1:26" s="24" customFormat="1" hidden="1" outlineLevel="2" x14ac:dyDescent="0.25">
      <c r="A20" s="28"/>
      <c r="B20" s="11" t="str">
        <f>CONCATENATE("          ", "6309", " - ", "TELEPHONE")</f>
        <v xml:space="preserve">          6309 - TELEPHONE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/>
      <c r="Q20" s="2"/>
      <c r="R20" s="6">
        <f t="shared" si="4"/>
        <v>0</v>
      </c>
      <c r="S20" s="2"/>
      <c r="T20" s="7">
        <v>151</v>
      </c>
      <c r="U20" s="2"/>
      <c r="V20" s="6">
        <f t="shared" si="5"/>
        <v>0</v>
      </c>
      <c r="W20" s="2"/>
      <c r="X20" s="7">
        <f t="shared" si="6"/>
        <v>-151</v>
      </c>
      <c r="Y20" s="2"/>
      <c r="Z20" s="6">
        <f t="shared" si="7"/>
        <v>-1</v>
      </c>
    </row>
    <row r="21" spans="1:26" s="54" customFormat="1" x14ac:dyDescent="0.25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292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276</v>
      </c>
      <c r="C24" s="25"/>
      <c r="D24" s="21">
        <f>+D16-D18+D22</f>
        <v>0</v>
      </c>
      <c r="E24" s="13"/>
      <c r="F24" s="22">
        <f>IF(D$12=0,0,D24/D$12)</f>
        <v>0</v>
      </c>
      <c r="G24" s="13"/>
      <c r="H24" s="21">
        <f>+H16-H18+H22</f>
        <v>0</v>
      </c>
      <c r="I24" s="13"/>
      <c r="J24" s="22">
        <f>IF(H$12=0,0,H24/H$12)</f>
        <v>0</v>
      </c>
      <c r="K24" s="16"/>
      <c r="L24" s="21">
        <f>+D24-H24</f>
        <v>0</v>
      </c>
      <c r="M24" s="16"/>
      <c r="N24" s="22">
        <f>IF(H24=0,0,L24/H24)</f>
        <v>0</v>
      </c>
      <c r="O24" s="26"/>
      <c r="P24" s="21">
        <f>+P16-P18+P22</f>
        <v>0</v>
      </c>
      <c r="Q24" s="13"/>
      <c r="R24" s="22">
        <f>IF(P$12=0,0,P24/P$12)</f>
        <v>0</v>
      </c>
      <c r="S24" s="13"/>
      <c r="T24" s="21">
        <f>+T16-T18+T22</f>
        <v>-151</v>
      </c>
      <c r="U24" s="13"/>
      <c r="V24" s="22">
        <f>IF(T$12=0,0,T24/T$12)</f>
        <v>0</v>
      </c>
      <c r="W24" s="16"/>
      <c r="X24" s="21">
        <f>+P24-T24</f>
        <v>151</v>
      </c>
      <c r="Y24" s="16"/>
      <c r="Z24" s="22">
        <f>IF(T24=0,0,X24/T24)</f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1"/>
      <c r="B26" s="10" t="s">
        <v>127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5" t="s">
        <v>125</v>
      </c>
      <c r="C28" s="25"/>
      <c r="D28" s="33">
        <f>+D24-D26</f>
        <v>0</v>
      </c>
      <c r="E28" s="13"/>
      <c r="F28" s="35">
        <f>IF(D$12=0,0,D28/D$12)</f>
        <v>0</v>
      </c>
      <c r="G28" s="13"/>
      <c r="H28" s="33">
        <f>+H24-H26</f>
        <v>0</v>
      </c>
      <c r="I28" s="13"/>
      <c r="J28" s="35">
        <f>IF(H$12=0,0,H28/H$12)</f>
        <v>0</v>
      </c>
      <c r="K28" s="16"/>
      <c r="L28" s="33">
        <f>D28-H28</f>
        <v>0</v>
      </c>
      <c r="M28" s="16"/>
      <c r="N28" s="35">
        <f>IF(H28=0,0,L28/H28)</f>
        <v>0</v>
      </c>
      <c r="O28" s="26"/>
      <c r="P28" s="33">
        <f>+P24-P26</f>
        <v>0</v>
      </c>
      <c r="Q28" s="13"/>
      <c r="R28" s="35">
        <f>IF(P$12=0,0,P28/P$12)</f>
        <v>0</v>
      </c>
      <c r="S28" s="13"/>
      <c r="T28" s="33">
        <f>+T24-T26</f>
        <v>-151</v>
      </c>
      <c r="U28" s="13"/>
      <c r="V28" s="35">
        <f>IF(T$12=0,0,T28/T$12)</f>
        <v>0</v>
      </c>
      <c r="W28" s="16"/>
      <c r="X28" s="33">
        <f>P28-T28</f>
        <v>151</v>
      </c>
      <c r="Y28" s="16"/>
      <c r="Z28" s="35">
        <f>IF(T28=0,0,X28/T28)</f>
        <v>-1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293</v>
      </c>
      <c r="C31" s="25"/>
      <c r="D31" s="31">
        <f>SUM(D28:D30)</f>
        <v>0</v>
      </c>
      <c r="E31" s="13"/>
      <c r="F31" s="32">
        <f>IF(D$12=0,0,D31/D$12)</f>
        <v>0</v>
      </c>
      <c r="G31" s="13"/>
      <c r="H31" s="31">
        <f>SUM(H28:H30)</f>
        <v>0</v>
      </c>
      <c r="I31" s="13"/>
      <c r="J31" s="32">
        <f>IF(H$12=0,0,H31/H$12)</f>
        <v>0</v>
      </c>
      <c r="K31" s="16"/>
      <c r="L31" s="31">
        <f>+D31-H31</f>
        <v>0</v>
      </c>
      <c r="M31" s="16"/>
      <c r="N31" s="32">
        <f>IF(H31=0,0,L31/H31)</f>
        <v>0</v>
      </c>
      <c r="O31" s="26"/>
      <c r="P31" s="31">
        <f>SUM(P28:P30)</f>
        <v>0</v>
      </c>
      <c r="Q31" s="13"/>
      <c r="R31" s="32">
        <f>IF(P$12=0,0,P31/P$12)</f>
        <v>0</v>
      </c>
      <c r="S31" s="13"/>
      <c r="T31" s="31">
        <f>SUM(T28:T30)</f>
        <v>-151</v>
      </c>
      <c r="U31" s="13"/>
      <c r="V31" s="32">
        <f>IF(T$12=0,0,T31/T$12)</f>
        <v>0</v>
      </c>
      <c r="W31" s="16"/>
      <c r="X31" s="31">
        <f>+P31-T31</f>
        <v>151</v>
      </c>
      <c r="Y31" s="16"/>
      <c r="Z31" s="32">
        <f>IF(T31=0,0,X31/T31)</f>
        <v>-1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8">
        <v>44481.985668518515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3" t="s">
        <v>56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2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","444", " - ", "Parkside Dining Hall")</f>
        <v>Department 444 - Parkside Dining Hall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686332.24</v>
      </c>
      <c r="E12" s="4"/>
      <c r="F12" s="12"/>
      <c r="G12" s="4"/>
      <c r="H12" s="4">
        <f>SUM(OSRRefH13x_0)</f>
        <v>184399.6</v>
      </c>
      <c r="I12" s="4"/>
      <c r="J12" s="12"/>
      <c r="K12" s="4"/>
      <c r="L12" s="4">
        <f t="shared" ref="L12:L15" si="0">+D12-H12</f>
        <v>501932.64</v>
      </c>
      <c r="M12" s="4"/>
      <c r="N12" s="12">
        <f t="shared" ref="N12:N15" si="1">IF(H12=0,0,L12/H12)</f>
        <v>2.721983344866258</v>
      </c>
      <c r="O12" s="10"/>
      <c r="P12" s="4">
        <f>SUM(OSRRefP13x_0)</f>
        <v>940208.41</v>
      </c>
      <c r="Q12" s="4"/>
      <c r="R12" s="12"/>
      <c r="S12" s="4"/>
      <c r="T12" s="4">
        <f>SUM(OSRRefT13x_0)</f>
        <v>231070.68000000002</v>
      </c>
      <c r="U12" s="4"/>
      <c r="V12" s="12"/>
      <c r="W12" s="4"/>
      <c r="X12" s="4">
        <f t="shared" ref="X12:X15" si="2">+P12-T12</f>
        <v>709137.73</v>
      </c>
      <c r="Y12" s="4"/>
      <c r="Z12" s="12">
        <f t="shared" ref="Z12:Z15" si="3">IF(T12=0,0,X12/T12)</f>
        <v>3.0689212928269392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--11.12</f>
        <v>11.12</v>
      </c>
      <c r="E13" s="2"/>
      <c r="F13" s="19"/>
      <c r="G13" s="2"/>
      <c r="H13" s="2">
        <f>--62.54</f>
        <v>62.54</v>
      </c>
      <c r="I13" s="2"/>
      <c r="J13" s="19"/>
      <c r="K13" s="2"/>
      <c r="L13" s="2">
        <f t="shared" si="0"/>
        <v>-51.42</v>
      </c>
      <c r="M13" s="2"/>
      <c r="N13" s="19">
        <f t="shared" si="1"/>
        <v>-0.82219379597057884</v>
      </c>
      <c r="O13" s="11"/>
      <c r="P13" s="2">
        <f>--198.64</f>
        <v>198.64</v>
      </c>
      <c r="Q13" s="2"/>
      <c r="R13" s="19"/>
      <c r="S13" s="2"/>
      <c r="T13" s="2">
        <f>--184.79</f>
        <v>184.79</v>
      </c>
      <c r="U13" s="2"/>
      <c r="V13" s="19"/>
      <c r="W13" s="2"/>
      <c r="X13" s="2">
        <f t="shared" si="2"/>
        <v>13.849999999999994</v>
      </c>
      <c r="Y13" s="2"/>
      <c r="Z13" s="19">
        <f t="shared" si="3"/>
        <v>7.4949943178743414E-2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--682773.44</f>
        <v>682773.44</v>
      </c>
      <c r="E14" s="2"/>
      <c r="F14" s="19"/>
      <c r="G14" s="2"/>
      <c r="H14" s="2">
        <f>--181378.7</f>
        <v>181378.7</v>
      </c>
      <c r="I14" s="2"/>
      <c r="J14" s="19"/>
      <c r="K14" s="2"/>
      <c r="L14" s="2">
        <f t="shared" si="0"/>
        <v>501394.73999999993</v>
      </c>
      <c r="M14" s="2"/>
      <c r="N14" s="19">
        <f t="shared" si="1"/>
        <v>2.7643529256742929</v>
      </c>
      <c r="O14" s="11"/>
      <c r="P14" s="2">
        <f>--931793.36</f>
        <v>931793.36</v>
      </c>
      <c r="Q14" s="2"/>
      <c r="R14" s="19"/>
      <c r="S14" s="2"/>
      <c r="T14" s="2">
        <f>--220129.38</f>
        <v>220129.38</v>
      </c>
      <c r="U14" s="2"/>
      <c r="V14" s="19"/>
      <c r="W14" s="2"/>
      <c r="X14" s="2">
        <f t="shared" si="2"/>
        <v>711663.98</v>
      </c>
      <c r="Y14" s="2"/>
      <c r="Z14" s="19">
        <f t="shared" si="3"/>
        <v>3.2329350130364243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--3547.68</f>
        <v>3547.68</v>
      </c>
      <c r="E15" s="2"/>
      <c r="F15" s="19"/>
      <c r="G15" s="2"/>
      <c r="H15" s="2">
        <f>--2958.36</f>
        <v>2958.36</v>
      </c>
      <c r="I15" s="2"/>
      <c r="J15" s="19"/>
      <c r="K15" s="2"/>
      <c r="L15" s="2">
        <f t="shared" si="0"/>
        <v>589.31999999999971</v>
      </c>
      <c r="M15" s="2"/>
      <c r="N15" s="19">
        <f t="shared" si="1"/>
        <v>0.19920496491299222</v>
      </c>
      <c r="O15" s="11"/>
      <c r="P15" s="2">
        <f>--8216.41</f>
        <v>8216.41</v>
      </c>
      <c r="Q15" s="2"/>
      <c r="R15" s="19"/>
      <c r="S15" s="2"/>
      <c r="T15" s="2">
        <f>--10756.51</f>
        <v>10756.51</v>
      </c>
      <c r="U15" s="2"/>
      <c r="V15" s="19"/>
      <c r="W15" s="2"/>
      <c r="X15" s="2">
        <f t="shared" si="2"/>
        <v>-2540.1000000000004</v>
      </c>
      <c r="Y15" s="2"/>
      <c r="Z15" s="19">
        <f t="shared" si="3"/>
        <v>-0.23614536685225973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256</v>
      </c>
      <c r="C17" s="10"/>
      <c r="D17" s="4">
        <f>SUM(OSRRefD16x_0)</f>
        <v>163730.09</v>
      </c>
      <c r="E17" s="4"/>
      <c r="F17" s="12">
        <f t="shared" ref="F17:F19" si="4">IF(D$12=0,0,D17/D$12)</f>
        <v>0.23855806336592902</v>
      </c>
      <c r="G17" s="4"/>
      <c r="H17" s="4">
        <f>SUM(OSRRefH16x_0)</f>
        <v>43646.619999999995</v>
      </c>
      <c r="I17" s="4"/>
      <c r="J17" s="12">
        <f t="shared" ref="J17:J19" si="5">IF(H$12=0,0,H17/H$12)</f>
        <v>0.23669584966561746</v>
      </c>
      <c r="K17" s="4"/>
      <c r="L17" s="4">
        <f t="shared" ref="L17:L19" si="6">+D17-H17</f>
        <v>120083.47</v>
      </c>
      <c r="M17" s="4"/>
      <c r="N17" s="12">
        <f t="shared" ref="N17:N19" si="7">IF(H17=0,0,L17/H17)</f>
        <v>2.7512661919754615</v>
      </c>
      <c r="O17" s="10"/>
      <c r="P17" s="4">
        <f>SUM(OSRRefP16x_0)</f>
        <v>272307.65000000002</v>
      </c>
      <c r="Q17" s="4"/>
      <c r="R17" s="12">
        <f t="shared" ref="R17:R19" si="8">IF(P$12=0,0,P17/P$12)</f>
        <v>0.28962477585155827</v>
      </c>
      <c r="S17" s="4"/>
      <c r="T17" s="4">
        <f>SUM(OSRRefT16x_0)</f>
        <v>76291.92</v>
      </c>
      <c r="U17" s="4"/>
      <c r="V17" s="12">
        <f t="shared" ref="V17:V19" si="9">IF(T$12=0,0,T17/T$12)</f>
        <v>0.33016702941281856</v>
      </c>
      <c r="W17" s="4"/>
      <c r="X17" s="4">
        <f t="shared" ref="X17:X19" si="10">+P17-T17</f>
        <v>196015.73000000004</v>
      </c>
      <c r="Y17" s="4"/>
      <c r="Z17" s="12">
        <f t="shared" ref="Z17:Z19" si="11">IF(T17=0,0,X17/T17)</f>
        <v>2.5692855809632271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166426.09</v>
      </c>
      <c r="E18" s="2"/>
      <c r="F18" s="19">
        <f t="shared" si="4"/>
        <v>0.2424861900702785</v>
      </c>
      <c r="G18" s="2"/>
      <c r="H18" s="2">
        <v>40326.199999999997</v>
      </c>
      <c r="I18" s="2"/>
      <c r="J18" s="19">
        <f t="shared" si="5"/>
        <v>0.21868919455356733</v>
      </c>
      <c r="K18" s="2"/>
      <c r="L18" s="2">
        <f t="shared" si="6"/>
        <v>126099.89</v>
      </c>
      <c r="M18" s="2"/>
      <c r="N18" s="19">
        <f t="shared" si="7"/>
        <v>3.1269965927858316</v>
      </c>
      <c r="O18" s="11"/>
      <c r="P18" s="2">
        <v>285774.65000000002</v>
      </c>
      <c r="Q18" s="2"/>
      <c r="R18" s="19">
        <f t="shared" si="8"/>
        <v>0.30394819591115974</v>
      </c>
      <c r="S18" s="2"/>
      <c r="T18" s="2">
        <v>110730.5</v>
      </c>
      <c r="U18" s="2"/>
      <c r="V18" s="19">
        <f t="shared" si="9"/>
        <v>0.4792061892058308</v>
      </c>
      <c r="W18" s="2"/>
      <c r="X18" s="2">
        <f t="shared" si="10"/>
        <v>175044.15000000002</v>
      </c>
      <c r="Y18" s="2"/>
      <c r="Z18" s="19">
        <f t="shared" si="11"/>
        <v>1.5808124229548319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-2696</v>
      </c>
      <c r="E19" s="2"/>
      <c r="F19" s="19">
        <f t="shared" si="4"/>
        <v>-3.9281267043494855E-3</v>
      </c>
      <c r="G19" s="2"/>
      <c r="H19" s="2">
        <v>3320.42</v>
      </c>
      <c r="I19" s="2"/>
      <c r="J19" s="19">
        <f t="shared" si="5"/>
        <v>1.8006655112050133E-2</v>
      </c>
      <c r="K19" s="2"/>
      <c r="L19" s="2">
        <f t="shared" si="6"/>
        <v>-6016.42</v>
      </c>
      <c r="M19" s="2"/>
      <c r="N19" s="19">
        <f t="shared" si="7"/>
        <v>-1.8119454767770342</v>
      </c>
      <c r="O19" s="11"/>
      <c r="P19" s="2">
        <v>-13467</v>
      </c>
      <c r="Q19" s="2"/>
      <c r="R19" s="19">
        <f t="shared" si="8"/>
        <v>-1.4323420059601466E-2</v>
      </c>
      <c r="S19" s="2"/>
      <c r="T19" s="2">
        <v>-34438.58</v>
      </c>
      <c r="U19" s="2"/>
      <c r="V19" s="19">
        <f t="shared" si="9"/>
        <v>-0.14903915979301224</v>
      </c>
      <c r="W19" s="2"/>
      <c r="X19" s="2">
        <f t="shared" si="10"/>
        <v>20971.58</v>
      </c>
      <c r="Y19" s="2"/>
      <c r="Z19" s="19">
        <f t="shared" si="11"/>
        <v>-0.60895600225096391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107</v>
      </c>
      <c r="C21" s="25"/>
      <c r="D21" s="21">
        <f>D12-D17</f>
        <v>522602.15</v>
      </c>
      <c r="E21" s="13"/>
      <c r="F21" s="22">
        <f>IF(D$12=0,0,D21/D$12)</f>
        <v>0.761441936634071</v>
      </c>
      <c r="G21" s="13"/>
      <c r="H21" s="21">
        <f>H12-H17</f>
        <v>140752.98000000001</v>
      </c>
      <c r="I21" s="13"/>
      <c r="J21" s="22">
        <f>IF(H$12=0,0,H21/H$12)</f>
        <v>0.76330415033438259</v>
      </c>
      <c r="K21" s="16"/>
      <c r="L21" s="21">
        <f>+D21-H21</f>
        <v>381849.17000000004</v>
      </c>
      <c r="M21" s="16"/>
      <c r="N21" s="22">
        <f>IF(H21=0,0,L21/H21)</f>
        <v>2.7129029168689716</v>
      </c>
      <c r="O21" s="26"/>
      <c r="P21" s="21">
        <f>P12-P17</f>
        <v>667900.76</v>
      </c>
      <c r="Q21" s="13"/>
      <c r="R21" s="22">
        <f>IF(P$12=0,0,P21/P$12)</f>
        <v>0.71037522414844168</v>
      </c>
      <c r="S21" s="13"/>
      <c r="T21" s="21">
        <f>T12-T17</f>
        <v>154778.76</v>
      </c>
      <c r="U21" s="13"/>
      <c r="V21" s="22">
        <f>IF(T$12=0,0,T21/T$12)</f>
        <v>0.66983297058718139</v>
      </c>
      <c r="W21" s="16"/>
      <c r="X21" s="21">
        <f>+P21-T21</f>
        <v>513122</v>
      </c>
      <c r="Y21" s="16"/>
      <c r="Z21" s="22">
        <f>IF(T21=0,0,X21/T21)</f>
        <v>3.3151964778629832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294</v>
      </c>
      <c r="C23" s="10"/>
      <c r="D23" s="20">
        <f>SUM(OSRRefD22x_0)</f>
        <v>201112.06999999995</v>
      </c>
      <c r="E23" s="20"/>
      <c r="F23" s="30">
        <f t="shared" ref="F23:F33" si="12">IF(D$12=0,0,D23/D$12)</f>
        <v>0.29302436674109894</v>
      </c>
      <c r="G23" s="20"/>
      <c r="H23" s="20">
        <f>SUM(OSRRefH22x_0)</f>
        <v>134039.10000000003</v>
      </c>
      <c r="I23" s="20"/>
      <c r="J23" s="30">
        <f t="shared" ref="J23:J33" si="13">IF(H$12=0,0,H23/H$12)</f>
        <v>0.72689474380638586</v>
      </c>
      <c r="K23" s="4"/>
      <c r="L23" s="20">
        <f t="shared" ref="L23:L33" si="14">+D23-H23</f>
        <v>67072.969999999914</v>
      </c>
      <c r="M23" s="4"/>
      <c r="N23" s="30">
        <f t="shared" ref="N23:N33" si="15">IF(H23=0,0,L23/H23)</f>
        <v>0.50039854042588983</v>
      </c>
      <c r="O23" s="10"/>
      <c r="P23" s="20">
        <f>SUM(OSRRefP22x_0)</f>
        <v>422514.79</v>
      </c>
      <c r="Q23" s="20"/>
      <c r="R23" s="30">
        <f t="shared" ref="R23:R33" si="16">IF(P$12=0,0,P23/P$12)</f>
        <v>0.44938418493831594</v>
      </c>
      <c r="S23" s="20"/>
      <c r="T23" s="20">
        <f>SUM(OSRRefT22x_0)</f>
        <v>293484.42999999988</v>
      </c>
      <c r="U23" s="20"/>
      <c r="V23" s="30">
        <f t="shared" ref="V23:V33" si="17">IF(T$12=0,0,T23/T$12)</f>
        <v>1.2701067482901762</v>
      </c>
      <c r="W23" s="4"/>
      <c r="X23" s="20">
        <f t="shared" ref="X23:X33" si="18">+P23-T23</f>
        <v>129030.3600000001</v>
      </c>
      <c r="Y23" s="4"/>
      <c r="Z23" s="30">
        <f t="shared" ref="Z23:Z33" si="19">IF(T23=0,0,X23/T23)</f>
        <v>0.43964976268076694</v>
      </c>
    </row>
    <row r="24" spans="1:26" s="27" customFormat="1" outlineLevel="1" collapsed="1" x14ac:dyDescent="0.25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31119.300000000003</v>
      </c>
      <c r="E24" s="1"/>
      <c r="F24" s="5">
        <f t="shared" si="12"/>
        <v>4.5341451539563413E-2</v>
      </c>
      <c r="G24" s="1"/>
      <c r="H24" s="1">
        <f>SUM(OSRRefH22_0x_0)</f>
        <v>29955.02</v>
      </c>
      <c r="I24" s="1"/>
      <c r="J24" s="5">
        <f t="shared" si="13"/>
        <v>0.16244623090288698</v>
      </c>
      <c r="K24" s="1"/>
      <c r="L24" s="1">
        <f t="shared" si="14"/>
        <v>1164.2800000000025</v>
      </c>
      <c r="M24" s="1"/>
      <c r="N24" s="5">
        <f t="shared" si="15"/>
        <v>3.8867608834846461E-2</v>
      </c>
      <c r="O24" s="14"/>
      <c r="P24" s="1">
        <f>SUM(OSRRefP22_0x_0)</f>
        <v>88430.2</v>
      </c>
      <c r="Q24" s="1"/>
      <c r="R24" s="5">
        <f t="shared" si="16"/>
        <v>9.405382791672752E-2</v>
      </c>
      <c r="S24" s="1"/>
      <c r="T24" s="1">
        <f>SUM(OSRRefT22_0x_0)</f>
        <v>85758.93</v>
      </c>
      <c r="U24" s="1"/>
      <c r="V24" s="5">
        <f t="shared" si="17"/>
        <v>0.37113722087112039</v>
      </c>
      <c r="W24" s="1"/>
      <c r="X24" s="1">
        <f t="shared" si="18"/>
        <v>2671.2700000000041</v>
      </c>
      <c r="Y24" s="1"/>
      <c r="Z24" s="5">
        <f t="shared" si="19"/>
        <v>3.1148592922043271E-2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7">
        <v>5155.2700000000004</v>
      </c>
      <c r="E25" s="2"/>
      <c r="F25" s="6">
        <f t="shared" si="12"/>
        <v>7.511332995226919E-3</v>
      </c>
      <c r="G25" s="2"/>
      <c r="H25" s="7">
        <v>3793.18</v>
      </c>
      <c r="I25" s="2"/>
      <c r="J25" s="6">
        <f t="shared" si="13"/>
        <v>2.0570435076865675E-2</v>
      </c>
      <c r="K25" s="2"/>
      <c r="L25" s="7">
        <f t="shared" si="14"/>
        <v>1362.0900000000006</v>
      </c>
      <c r="M25" s="2"/>
      <c r="N25" s="6">
        <f t="shared" si="15"/>
        <v>0.35908920747235845</v>
      </c>
      <c r="O25" s="11"/>
      <c r="P25" s="7">
        <v>12745.41</v>
      </c>
      <c r="Q25" s="2"/>
      <c r="R25" s="6">
        <f t="shared" si="16"/>
        <v>1.3555941283273566E-2</v>
      </c>
      <c r="S25" s="2"/>
      <c r="T25" s="7">
        <v>9033.4500000000007</v>
      </c>
      <c r="U25" s="2"/>
      <c r="V25" s="6">
        <f t="shared" si="17"/>
        <v>3.9093882443242044E-2</v>
      </c>
      <c r="W25" s="2"/>
      <c r="X25" s="7">
        <f t="shared" si="18"/>
        <v>3711.9599999999991</v>
      </c>
      <c r="Y25" s="2"/>
      <c r="Z25" s="6">
        <f t="shared" si="19"/>
        <v>0.41091277418926309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7">
        <v>3195.52</v>
      </c>
      <c r="E26" s="2"/>
      <c r="F26" s="6">
        <f t="shared" si="12"/>
        <v>4.6559374800752475E-3</v>
      </c>
      <c r="G26" s="2"/>
      <c r="H26" s="7">
        <v>2815.82</v>
      </c>
      <c r="I26" s="2"/>
      <c r="J26" s="6">
        <f t="shared" si="13"/>
        <v>1.5270206659884294E-2</v>
      </c>
      <c r="K26" s="2"/>
      <c r="L26" s="7">
        <f t="shared" si="14"/>
        <v>379.69999999999982</v>
      </c>
      <c r="M26" s="2"/>
      <c r="N26" s="6">
        <f t="shared" si="15"/>
        <v>0.13484526709803887</v>
      </c>
      <c r="O26" s="11"/>
      <c r="P26" s="7">
        <v>6770.54</v>
      </c>
      <c r="Q26" s="2"/>
      <c r="R26" s="6">
        <f t="shared" si="16"/>
        <v>7.2011055506299923E-3</v>
      </c>
      <c r="S26" s="2"/>
      <c r="T26" s="7">
        <v>5806.22</v>
      </c>
      <c r="U26" s="2"/>
      <c r="V26" s="6">
        <f t="shared" si="17"/>
        <v>2.5127463164084686E-2</v>
      </c>
      <c r="W26" s="2"/>
      <c r="X26" s="7">
        <f t="shared" si="18"/>
        <v>964.31999999999971</v>
      </c>
      <c r="Y26" s="2"/>
      <c r="Z26" s="6">
        <f t="shared" si="19"/>
        <v>0.16608395823788966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7">
        <v>16032.62</v>
      </c>
      <c r="E27" s="2"/>
      <c r="F27" s="6">
        <f t="shared" si="12"/>
        <v>2.3359852656783253E-2</v>
      </c>
      <c r="G27" s="2"/>
      <c r="H27" s="7">
        <v>16509.650000000001</v>
      </c>
      <c r="I27" s="2"/>
      <c r="J27" s="6">
        <f t="shared" si="13"/>
        <v>8.9531918724335635E-2</v>
      </c>
      <c r="K27" s="2"/>
      <c r="L27" s="7">
        <f t="shared" si="14"/>
        <v>-477.03000000000065</v>
      </c>
      <c r="M27" s="2"/>
      <c r="N27" s="6">
        <f t="shared" si="15"/>
        <v>-2.8894010472662993E-2</v>
      </c>
      <c r="O27" s="11"/>
      <c r="P27" s="7">
        <v>47496.67</v>
      </c>
      <c r="Q27" s="2"/>
      <c r="R27" s="6">
        <f t="shared" si="16"/>
        <v>5.0517172038484527E-2</v>
      </c>
      <c r="S27" s="2"/>
      <c r="T27" s="7">
        <v>49528.95</v>
      </c>
      <c r="U27" s="2"/>
      <c r="V27" s="6">
        <f t="shared" si="17"/>
        <v>0.21434545481927864</v>
      </c>
      <c r="W27" s="2"/>
      <c r="X27" s="7">
        <f t="shared" si="18"/>
        <v>-2032.2799999999988</v>
      </c>
      <c r="Y27" s="2"/>
      <c r="Z27" s="6">
        <f t="shared" si="19"/>
        <v>-4.103216401720608E-2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7">
        <v>230.79</v>
      </c>
      <c r="E28" s="2"/>
      <c r="F28" s="6">
        <f t="shared" si="12"/>
        <v>3.362657129439235E-4</v>
      </c>
      <c r="G28" s="2"/>
      <c r="H28" s="7">
        <v>170.64</v>
      </c>
      <c r="I28" s="2"/>
      <c r="J28" s="6">
        <f t="shared" si="13"/>
        <v>9.2538161687986302E-4</v>
      </c>
      <c r="K28" s="2"/>
      <c r="L28" s="7">
        <f t="shared" si="14"/>
        <v>60.150000000000006</v>
      </c>
      <c r="M28" s="2"/>
      <c r="N28" s="6">
        <f t="shared" si="15"/>
        <v>0.35249648382559778</v>
      </c>
      <c r="O28" s="11"/>
      <c r="P28" s="7">
        <v>488.99</v>
      </c>
      <c r="Q28" s="2"/>
      <c r="R28" s="6">
        <f t="shared" si="16"/>
        <v>5.2008681777266806E-4</v>
      </c>
      <c r="S28" s="2"/>
      <c r="T28" s="7">
        <v>424.03</v>
      </c>
      <c r="U28" s="2"/>
      <c r="V28" s="6">
        <f t="shared" si="17"/>
        <v>1.8350662230275166E-3</v>
      </c>
      <c r="W28" s="2"/>
      <c r="X28" s="7">
        <f t="shared" si="18"/>
        <v>64.960000000000036</v>
      </c>
      <c r="Y28" s="2"/>
      <c r="Z28" s="6">
        <f t="shared" si="19"/>
        <v>0.15319670778010999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7">
        <v>1434.5</v>
      </c>
      <c r="E29" s="2"/>
      <c r="F29" s="6">
        <f t="shared" si="12"/>
        <v>2.0900956073402585E-3</v>
      </c>
      <c r="G29" s="2"/>
      <c r="H29" s="7">
        <v>1457.5</v>
      </c>
      <c r="I29" s="2"/>
      <c r="J29" s="6">
        <f t="shared" si="13"/>
        <v>7.9040301605860317E-3</v>
      </c>
      <c r="K29" s="2"/>
      <c r="L29" s="7">
        <f t="shared" si="14"/>
        <v>-23</v>
      </c>
      <c r="M29" s="2"/>
      <c r="N29" s="6">
        <f t="shared" si="15"/>
        <v>-1.5780445969125215E-2</v>
      </c>
      <c r="O29" s="11"/>
      <c r="P29" s="7">
        <v>4303.5</v>
      </c>
      <c r="Q29" s="2"/>
      <c r="R29" s="6">
        <f t="shared" si="16"/>
        <v>4.5771766708617295E-3</v>
      </c>
      <c r="S29" s="2"/>
      <c r="T29" s="7">
        <v>5101.25</v>
      </c>
      <c r="U29" s="2"/>
      <c r="V29" s="6">
        <f t="shared" si="17"/>
        <v>2.2076578473737989E-2</v>
      </c>
      <c r="W29" s="2"/>
      <c r="X29" s="7">
        <f t="shared" si="18"/>
        <v>-797.75</v>
      </c>
      <c r="Y29" s="2"/>
      <c r="Z29" s="6">
        <f t="shared" si="19"/>
        <v>-0.15638323940210733</v>
      </c>
    </row>
    <row r="30" spans="1:26" s="24" customFormat="1" hidden="1" outlineLevel="2" x14ac:dyDescent="0.25">
      <c r="A30" s="28"/>
      <c r="B30" s="11" t="str">
        <f>CONCATENATE("          ", "6117", " - ", "RETIREMENT STAFF HOURLY")</f>
        <v xml:space="preserve">          6117 - RETIREMENT STAFF HOURLY</v>
      </c>
      <c r="C30" s="11"/>
      <c r="D30" s="7">
        <v>316.89999999999998</v>
      </c>
      <c r="E30" s="2"/>
      <c r="F30" s="6">
        <f t="shared" si="12"/>
        <v>4.6172973019597619E-4</v>
      </c>
      <c r="G30" s="2"/>
      <c r="H30" s="7">
        <v>582.11</v>
      </c>
      <c r="I30" s="2"/>
      <c r="J30" s="6">
        <f t="shared" si="13"/>
        <v>3.1567855895565933E-3</v>
      </c>
      <c r="K30" s="2"/>
      <c r="L30" s="7">
        <f t="shared" si="14"/>
        <v>-265.21000000000004</v>
      </c>
      <c r="M30" s="2"/>
      <c r="N30" s="6">
        <f t="shared" si="15"/>
        <v>-0.45560117503564623</v>
      </c>
      <c r="O30" s="11"/>
      <c r="P30" s="7">
        <v>1431.17</v>
      </c>
      <c r="Q30" s="2"/>
      <c r="R30" s="6">
        <f t="shared" si="16"/>
        <v>1.5221837890175859E-3</v>
      </c>
      <c r="S30" s="2"/>
      <c r="T30" s="7">
        <v>1838.03</v>
      </c>
      <c r="U30" s="2"/>
      <c r="V30" s="6">
        <f t="shared" si="17"/>
        <v>7.9544059852162969E-3</v>
      </c>
      <c r="W30" s="2"/>
      <c r="X30" s="7">
        <f t="shared" si="18"/>
        <v>-406.8599999999999</v>
      </c>
      <c r="Y30" s="2"/>
      <c r="Z30" s="6">
        <f t="shared" si="19"/>
        <v>-0.22135656110074367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7">
        <v>2432.7399999999998</v>
      </c>
      <c r="E31" s="2"/>
      <c r="F31" s="6">
        <f t="shared" si="12"/>
        <v>3.544551542559038E-3</v>
      </c>
      <c r="G31" s="2"/>
      <c r="H31" s="7">
        <v>2445.52</v>
      </c>
      <c r="I31" s="2"/>
      <c r="J31" s="6">
        <f t="shared" si="13"/>
        <v>1.3262067813596125E-2</v>
      </c>
      <c r="K31" s="2"/>
      <c r="L31" s="7">
        <f t="shared" si="14"/>
        <v>-12.7800000000002</v>
      </c>
      <c r="M31" s="2"/>
      <c r="N31" s="6">
        <f t="shared" si="15"/>
        <v>-5.2258824299127385E-3</v>
      </c>
      <c r="O31" s="11"/>
      <c r="P31" s="7">
        <v>7469.11</v>
      </c>
      <c r="Q31" s="2"/>
      <c r="R31" s="6">
        <f t="shared" si="16"/>
        <v>7.9441003936563375E-3</v>
      </c>
      <c r="S31" s="2"/>
      <c r="T31" s="7">
        <v>7194</v>
      </c>
      <c r="U31" s="2"/>
      <c r="V31" s="6">
        <f t="shared" si="17"/>
        <v>3.1133331152182524E-2</v>
      </c>
      <c r="W31" s="2"/>
      <c r="X31" s="7">
        <f t="shared" si="18"/>
        <v>275.10999999999967</v>
      </c>
      <c r="Y31" s="2"/>
      <c r="Z31" s="6">
        <f t="shared" si="19"/>
        <v>3.8241590214067235E-2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7">
        <v>1644.52</v>
      </c>
      <c r="E32" s="2"/>
      <c r="F32" s="6">
        <f t="shared" si="12"/>
        <v>2.3960990088415486E-3</v>
      </c>
      <c r="G32" s="2"/>
      <c r="H32" s="7">
        <v>1504</v>
      </c>
      <c r="I32" s="2"/>
      <c r="J32" s="6">
        <f t="shared" si="13"/>
        <v>8.1561999049889478E-3</v>
      </c>
      <c r="K32" s="2"/>
      <c r="L32" s="7">
        <f t="shared" si="14"/>
        <v>140.51999999999998</v>
      </c>
      <c r="M32" s="2"/>
      <c r="N32" s="6">
        <f t="shared" si="15"/>
        <v>9.343085106382977E-2</v>
      </c>
      <c r="O32" s="11"/>
      <c r="P32" s="7">
        <v>5159.32</v>
      </c>
      <c r="Q32" s="2"/>
      <c r="R32" s="6">
        <f t="shared" si="16"/>
        <v>5.4874216664366994E-3</v>
      </c>
      <c r="S32" s="2"/>
      <c r="T32" s="7">
        <v>4512</v>
      </c>
      <c r="U32" s="2"/>
      <c r="V32" s="6">
        <f t="shared" si="17"/>
        <v>1.9526492932811723E-2</v>
      </c>
      <c r="W32" s="2"/>
      <c r="X32" s="7">
        <f t="shared" si="18"/>
        <v>647.31999999999971</v>
      </c>
      <c r="Y32" s="2"/>
      <c r="Z32" s="6">
        <f t="shared" si="19"/>
        <v>0.14346631205673752</v>
      </c>
    </row>
    <row r="33" spans="1:26" s="24" customFormat="1" hidden="1" outlineLevel="2" x14ac:dyDescent="0.25">
      <c r="A33" s="28"/>
      <c r="B33" s="11" t="str">
        <f>CONCATENATE("          ", "6156", " - ", "EMPLOYEE MEALS")</f>
        <v xml:space="preserve">          6156 - EMPLOYEE MEALS</v>
      </c>
      <c r="C33" s="11"/>
      <c r="D33" s="7">
        <v>676.44</v>
      </c>
      <c r="E33" s="2"/>
      <c r="F33" s="6">
        <f t="shared" si="12"/>
        <v>9.8558680559724266E-4</v>
      </c>
      <c r="G33" s="2"/>
      <c r="H33" s="7">
        <v>676.6</v>
      </c>
      <c r="I33" s="2"/>
      <c r="J33" s="6">
        <f t="shared" si="13"/>
        <v>3.6692053561938314E-3</v>
      </c>
      <c r="K33" s="2"/>
      <c r="L33" s="7">
        <f t="shared" si="14"/>
        <v>-0.15999999999996817</v>
      </c>
      <c r="M33" s="2"/>
      <c r="N33" s="6">
        <f t="shared" si="15"/>
        <v>-2.3647650014775075E-4</v>
      </c>
      <c r="O33" s="11"/>
      <c r="P33" s="7">
        <v>2565.4899999999998</v>
      </c>
      <c r="Q33" s="2"/>
      <c r="R33" s="6">
        <f t="shared" si="16"/>
        <v>2.7286397065944133E-3</v>
      </c>
      <c r="S33" s="2"/>
      <c r="T33" s="7">
        <v>2321</v>
      </c>
      <c r="U33" s="2"/>
      <c r="V33" s="6">
        <f t="shared" si="17"/>
        <v>1.0044545677539009E-2</v>
      </c>
      <c r="W33" s="2"/>
      <c r="X33" s="7">
        <f t="shared" si="18"/>
        <v>244.48999999999978</v>
      </c>
      <c r="Y33" s="2"/>
      <c r="Z33" s="6">
        <f t="shared" si="19"/>
        <v>0.10533821628608349</v>
      </c>
    </row>
    <row r="34" spans="1:26" s="27" customFormat="1" outlineLevel="1" collapsed="1" x14ac:dyDescent="0.25">
      <c r="A34" s="29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88403.16</v>
      </c>
      <c r="E34" s="1"/>
      <c r="F34" s="5">
        <f t="shared" ref="F34:F39" si="20">IF(D$12=0,0,D34/D$12)</f>
        <v>0.12880519790240366</v>
      </c>
      <c r="G34" s="1"/>
      <c r="H34" s="1">
        <f>SUM(OSRRefH22_1x_0)</f>
        <v>65737.73</v>
      </c>
      <c r="I34" s="1"/>
      <c r="J34" s="5">
        <f t="shared" ref="J34:J39" si="21">IF(H$12=0,0,H34/H$12)</f>
        <v>0.35649605530597678</v>
      </c>
      <c r="K34" s="1"/>
      <c r="L34" s="1">
        <f t="shared" ref="L34:L39" si="22">+D34-H34</f>
        <v>22665.430000000008</v>
      </c>
      <c r="M34" s="1"/>
      <c r="N34" s="5">
        <f t="shared" ref="N34:N39" si="23">IF(H34=0,0,L34/H34)</f>
        <v>0.34478571134111274</v>
      </c>
      <c r="O34" s="14"/>
      <c r="P34" s="1">
        <f>SUM(OSRRefP22_1x_0)</f>
        <v>199849.62</v>
      </c>
      <c r="Q34" s="1"/>
      <c r="R34" s="5">
        <f t="shared" ref="R34:R39" si="24">IF(P$12=0,0,P34/P$12)</f>
        <v>0.21255885171246233</v>
      </c>
      <c r="S34" s="1"/>
      <c r="T34" s="1">
        <f>SUM(OSRRefT22_1x_0)</f>
        <v>141427.77000000002</v>
      </c>
      <c r="U34" s="1"/>
      <c r="V34" s="5">
        <f t="shared" ref="V34:V39" si="25">IF(T$12=0,0,T34/T$12)</f>
        <v>0.61205415589723455</v>
      </c>
      <c r="W34" s="1"/>
      <c r="X34" s="1">
        <f t="shared" ref="X34:X39" si="26">+P34-T34</f>
        <v>58421.849999999977</v>
      </c>
      <c r="Y34" s="1"/>
      <c r="Z34" s="5">
        <f t="shared" ref="Z34:Z39" si="27">IF(T34=0,0,X34/T34)</f>
        <v>0.41308612870018363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7">
        <v>18135.740000000002</v>
      </c>
      <c r="E35" s="2"/>
      <c r="F35" s="6">
        <f t="shared" si="20"/>
        <v>2.6424141171045676E-2</v>
      </c>
      <c r="G35" s="2"/>
      <c r="H35" s="7">
        <v>14008.24</v>
      </c>
      <c r="I35" s="2"/>
      <c r="J35" s="6">
        <f t="shared" si="21"/>
        <v>7.5966759146982962E-2</v>
      </c>
      <c r="K35" s="2"/>
      <c r="L35" s="7">
        <f t="shared" si="22"/>
        <v>4127.5000000000018</v>
      </c>
      <c r="M35" s="2"/>
      <c r="N35" s="6">
        <f t="shared" si="23"/>
        <v>0.29464800717292122</v>
      </c>
      <c r="O35" s="11"/>
      <c r="P35" s="7">
        <v>53224.52</v>
      </c>
      <c r="Q35" s="2"/>
      <c r="R35" s="6">
        <f t="shared" si="24"/>
        <v>5.6609278787455211E-2</v>
      </c>
      <c r="S35" s="2"/>
      <c r="T35" s="7">
        <v>47794.080000000002</v>
      </c>
      <c r="U35" s="2"/>
      <c r="V35" s="6">
        <f t="shared" si="25"/>
        <v>0.20683749232053153</v>
      </c>
      <c r="W35" s="2"/>
      <c r="X35" s="7">
        <f t="shared" si="26"/>
        <v>5430.4399999999951</v>
      </c>
      <c r="Y35" s="2"/>
      <c r="Z35" s="6">
        <f t="shared" si="27"/>
        <v>0.11362160334501668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7">
        <v>31330.560000000001</v>
      </c>
      <c r="E36" s="2"/>
      <c r="F36" s="6">
        <f t="shared" si="20"/>
        <v>4.5649261646225452E-2</v>
      </c>
      <c r="G36" s="2"/>
      <c r="H36" s="7">
        <v>18181.080000000002</v>
      </c>
      <c r="I36" s="2"/>
      <c r="J36" s="6">
        <f t="shared" si="21"/>
        <v>9.8596092399332758E-2</v>
      </c>
      <c r="K36" s="2"/>
      <c r="L36" s="7">
        <f t="shared" si="22"/>
        <v>13149.48</v>
      </c>
      <c r="M36" s="2"/>
      <c r="N36" s="6">
        <f t="shared" si="23"/>
        <v>0.72325076398101751</v>
      </c>
      <c r="O36" s="11"/>
      <c r="P36" s="7">
        <v>69545.81</v>
      </c>
      <c r="Q36" s="2"/>
      <c r="R36" s="6">
        <f t="shared" si="24"/>
        <v>7.3968504493594128E-2</v>
      </c>
      <c r="S36" s="2"/>
      <c r="T36" s="7">
        <v>44599.18</v>
      </c>
      <c r="U36" s="2"/>
      <c r="V36" s="6">
        <f t="shared" si="25"/>
        <v>0.19301098694131161</v>
      </c>
      <c r="W36" s="2"/>
      <c r="X36" s="7">
        <f t="shared" si="26"/>
        <v>24946.629999999997</v>
      </c>
      <c r="Y36" s="2"/>
      <c r="Z36" s="6">
        <f t="shared" si="27"/>
        <v>0.55935176386651053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7">
        <v>17998.93</v>
      </c>
      <c r="E37" s="2"/>
      <c r="F37" s="6">
        <f t="shared" si="20"/>
        <v>2.6224806225043428E-2</v>
      </c>
      <c r="G37" s="2"/>
      <c r="H37" s="7">
        <v>13566.64</v>
      </c>
      <c r="I37" s="2"/>
      <c r="J37" s="6">
        <f t="shared" si="21"/>
        <v>7.3571960025943656E-2</v>
      </c>
      <c r="K37" s="2"/>
      <c r="L37" s="7">
        <f t="shared" si="22"/>
        <v>4432.2900000000009</v>
      </c>
      <c r="M37" s="2"/>
      <c r="N37" s="6">
        <f t="shared" si="23"/>
        <v>0.32670506477654015</v>
      </c>
      <c r="O37" s="11"/>
      <c r="P37" s="7">
        <v>30841.79</v>
      </c>
      <c r="Q37" s="2"/>
      <c r="R37" s="6">
        <f t="shared" si="24"/>
        <v>3.2803142018268054E-2</v>
      </c>
      <c r="S37" s="2"/>
      <c r="T37" s="7">
        <v>14519.74</v>
      </c>
      <c r="U37" s="2"/>
      <c r="V37" s="6">
        <f t="shared" si="25"/>
        <v>6.2836790890129363E-2</v>
      </c>
      <c r="W37" s="2"/>
      <c r="X37" s="7">
        <f t="shared" si="26"/>
        <v>16322.050000000001</v>
      </c>
      <c r="Y37" s="2"/>
      <c r="Z37" s="6">
        <f t="shared" si="27"/>
        <v>1.1241282557401167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7">
        <v>19037.71</v>
      </c>
      <c r="E38" s="2"/>
      <c r="F38" s="6">
        <f t="shared" si="20"/>
        <v>2.7738329762856541E-2</v>
      </c>
      <c r="G38" s="2"/>
      <c r="H38" s="7">
        <v>16895.439999999999</v>
      </c>
      <c r="I38" s="2"/>
      <c r="J38" s="6">
        <f t="shared" si="21"/>
        <v>9.162405992203887E-2</v>
      </c>
      <c r="K38" s="2"/>
      <c r="L38" s="7">
        <f t="shared" si="22"/>
        <v>2142.2700000000004</v>
      </c>
      <c r="M38" s="2"/>
      <c r="N38" s="6">
        <f t="shared" si="23"/>
        <v>0.1267957508061347</v>
      </c>
      <c r="O38" s="11"/>
      <c r="P38" s="7">
        <v>42707.82</v>
      </c>
      <c r="Q38" s="2"/>
      <c r="R38" s="6">
        <f t="shared" si="24"/>
        <v>4.5423780031918666E-2</v>
      </c>
      <c r="S38" s="2"/>
      <c r="T38" s="7">
        <v>30812.11</v>
      </c>
      <c r="U38" s="2"/>
      <c r="V38" s="6">
        <f t="shared" si="25"/>
        <v>0.13334495748227337</v>
      </c>
      <c r="W38" s="2"/>
      <c r="X38" s="7">
        <f t="shared" si="26"/>
        <v>11895.71</v>
      </c>
      <c r="Y38" s="2"/>
      <c r="Z38" s="6">
        <f t="shared" si="27"/>
        <v>0.38607255394064216</v>
      </c>
    </row>
    <row r="39" spans="1:26" s="24" customFormat="1" hidden="1" outlineLevel="2" x14ac:dyDescent="0.25">
      <c r="A39" s="28"/>
      <c r="B39" s="11" t="str">
        <f>CONCATENATE("          ", "6008", " - ", "STUDENT HOURLY-FICA EXEMPT")</f>
        <v xml:space="preserve">          6008 - STUDENT HOURLY-FICA EXEMPT</v>
      </c>
      <c r="C39" s="11"/>
      <c r="D39" s="7">
        <v>1900.22</v>
      </c>
      <c r="E39" s="2"/>
      <c r="F39" s="6">
        <f t="shared" si="20"/>
        <v>2.7686590972325589E-3</v>
      </c>
      <c r="G39" s="2"/>
      <c r="H39" s="7">
        <v>3086.33</v>
      </c>
      <c r="I39" s="2"/>
      <c r="J39" s="6">
        <f t="shared" si="21"/>
        <v>1.673718381167855E-2</v>
      </c>
      <c r="K39" s="2"/>
      <c r="L39" s="7">
        <f t="shared" si="22"/>
        <v>-1186.1099999999999</v>
      </c>
      <c r="M39" s="2"/>
      <c r="N39" s="6">
        <f t="shared" si="23"/>
        <v>-0.38431081575852222</v>
      </c>
      <c r="O39" s="11"/>
      <c r="P39" s="7">
        <v>3529.68</v>
      </c>
      <c r="Q39" s="2"/>
      <c r="R39" s="6">
        <f t="shared" si="24"/>
        <v>3.7541463812262644E-3</v>
      </c>
      <c r="S39" s="2"/>
      <c r="T39" s="7">
        <v>3702.66</v>
      </c>
      <c r="U39" s="2"/>
      <c r="V39" s="6">
        <f t="shared" si="25"/>
        <v>1.602392826298862E-2</v>
      </c>
      <c r="W39" s="2"/>
      <c r="X39" s="7">
        <f t="shared" si="26"/>
        <v>-172.98000000000002</v>
      </c>
      <c r="Y39" s="2"/>
      <c r="Z39" s="6">
        <f t="shared" si="27"/>
        <v>-4.6717765066195661E-2</v>
      </c>
    </row>
    <row r="40" spans="1:26" s="27" customFormat="1" outlineLevel="1" collapsed="1" x14ac:dyDescent="0.25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290.82</v>
      </c>
      <c r="E40" s="1"/>
      <c r="F40" s="5">
        <f t="shared" ref="F40:F58" si="28">IF(D$12=0,0,D40/D$12)</f>
        <v>4.2373064100850049E-4</v>
      </c>
      <c r="G40" s="1"/>
      <c r="H40" s="1">
        <f>SUM(OSRRefH22_2x_0)</f>
        <v>0</v>
      </c>
      <c r="I40" s="1"/>
      <c r="J40" s="5">
        <f t="shared" ref="J40:J58" si="29">IF(H$12=0,0,H40/H$12)</f>
        <v>0</v>
      </c>
      <c r="K40" s="1"/>
      <c r="L40" s="1">
        <f t="shared" ref="L40:L58" si="30">+D40-H40</f>
        <v>290.82</v>
      </c>
      <c r="M40" s="1"/>
      <c r="N40" s="5">
        <f t="shared" ref="N40:N58" si="31">IF(H40=0,0,L40/H40)</f>
        <v>0</v>
      </c>
      <c r="O40" s="14"/>
      <c r="P40" s="1">
        <f>SUM(OSRRefP22_2x_0)</f>
        <v>955.26</v>
      </c>
      <c r="Q40" s="1"/>
      <c r="R40" s="5">
        <f t="shared" ref="R40:R58" si="32">IF(P$12=0,0,P40/P$12)</f>
        <v>1.0160087804362439E-3</v>
      </c>
      <c r="S40" s="1"/>
      <c r="T40" s="1">
        <f>SUM(OSRRefT22_2x_0)</f>
        <v>1224.25</v>
      </c>
      <c r="U40" s="1"/>
      <c r="V40" s="5">
        <f t="shared" ref="V40:V58" si="33">IF(T$12=0,0,T40/T$12)</f>
        <v>5.2981624496885532E-3</v>
      </c>
      <c r="W40" s="1"/>
      <c r="X40" s="1">
        <f t="shared" ref="X40:X58" si="34">+P40-T40</f>
        <v>-268.99</v>
      </c>
      <c r="Y40" s="1"/>
      <c r="Z40" s="5">
        <f t="shared" ref="Z40:Z58" si="35">IF(T40=0,0,X40/T40)</f>
        <v>-0.21971819481315091</v>
      </c>
    </row>
    <row r="41" spans="1:26" s="24" customFormat="1" hidden="1" outlineLevel="2" x14ac:dyDescent="0.25">
      <c r="A41" s="28"/>
      <c r="B41" s="11" t="str">
        <f>CONCATENATE("          ", "6362", " - ", "ADVERTISING EXPENSE")</f>
        <v xml:space="preserve">          6362 - ADVERTISING EXPENSE</v>
      </c>
      <c r="C41" s="11"/>
      <c r="D41" s="7">
        <v>290.82</v>
      </c>
      <c r="E41" s="2"/>
      <c r="F41" s="6">
        <f t="shared" si="28"/>
        <v>4.2373064100850049E-4</v>
      </c>
      <c r="G41" s="2"/>
      <c r="H41" s="7"/>
      <c r="I41" s="2"/>
      <c r="J41" s="6">
        <f t="shared" si="29"/>
        <v>0</v>
      </c>
      <c r="K41" s="2"/>
      <c r="L41" s="7">
        <f t="shared" si="30"/>
        <v>290.82</v>
      </c>
      <c r="M41" s="2"/>
      <c r="N41" s="6">
        <f t="shared" si="31"/>
        <v>0</v>
      </c>
      <c r="O41" s="11"/>
      <c r="P41" s="7">
        <v>955.26</v>
      </c>
      <c r="Q41" s="2"/>
      <c r="R41" s="6">
        <f t="shared" si="32"/>
        <v>1.0160087804362439E-3</v>
      </c>
      <c r="S41" s="2"/>
      <c r="T41" s="7">
        <v>1224.25</v>
      </c>
      <c r="U41" s="2"/>
      <c r="V41" s="6">
        <f t="shared" si="33"/>
        <v>5.2981624496885532E-3</v>
      </c>
      <c r="W41" s="2"/>
      <c r="X41" s="7">
        <f t="shared" si="34"/>
        <v>-268.99</v>
      </c>
      <c r="Y41" s="2"/>
      <c r="Z41" s="6">
        <f t="shared" si="35"/>
        <v>-0.21971819481315091</v>
      </c>
    </row>
    <row r="42" spans="1:26" s="27" customFormat="1" outlineLevel="1" collapsed="1" x14ac:dyDescent="0.25">
      <c r="A42" s="29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0</v>
      </c>
      <c r="E42" s="1"/>
      <c r="F42" s="5">
        <f t="shared" si="28"/>
        <v>0</v>
      </c>
      <c r="G42" s="1"/>
      <c r="H42" s="1">
        <f>SUM(OSRRefH22_3x_0)</f>
        <v>0</v>
      </c>
      <c r="I42" s="1"/>
      <c r="J42" s="5">
        <f t="shared" si="29"/>
        <v>0</v>
      </c>
      <c r="K42" s="1"/>
      <c r="L42" s="1">
        <f t="shared" si="30"/>
        <v>0</v>
      </c>
      <c r="M42" s="1"/>
      <c r="N42" s="5">
        <f t="shared" si="31"/>
        <v>0</v>
      </c>
      <c r="O42" s="14"/>
      <c r="P42" s="1">
        <f>SUM(OSRRefP22_3x_0)</f>
        <v>0</v>
      </c>
      <c r="Q42" s="1"/>
      <c r="R42" s="5">
        <f t="shared" si="32"/>
        <v>0</v>
      </c>
      <c r="S42" s="1"/>
      <c r="T42" s="1">
        <f>SUM(OSRRefT22_3x_0)</f>
        <v>32</v>
      </c>
      <c r="U42" s="1"/>
      <c r="V42" s="5">
        <f t="shared" si="33"/>
        <v>1.3848576548093421E-4</v>
      </c>
      <c r="W42" s="1"/>
      <c r="X42" s="1">
        <f t="shared" si="34"/>
        <v>-32</v>
      </c>
      <c r="Y42" s="1"/>
      <c r="Z42" s="5">
        <f t="shared" si="35"/>
        <v>-1</v>
      </c>
    </row>
    <row r="43" spans="1:26" s="24" customFormat="1" hidden="1" outlineLevel="2" x14ac:dyDescent="0.25">
      <c r="A43" s="28"/>
      <c r="B43" s="11" t="str">
        <f>CONCATENATE("          ", "6272", " - ", "CASH (OVER/SHORT)")</f>
        <v xml:space="preserve">          6272 - CASH (OVER/SHORT)</v>
      </c>
      <c r="C43" s="11"/>
      <c r="D43" s="7"/>
      <c r="E43" s="2"/>
      <c r="F43" s="6">
        <f t="shared" si="28"/>
        <v>0</v>
      </c>
      <c r="G43" s="2"/>
      <c r="H43" s="7"/>
      <c r="I43" s="2"/>
      <c r="J43" s="6">
        <f t="shared" si="29"/>
        <v>0</v>
      </c>
      <c r="K43" s="2"/>
      <c r="L43" s="7">
        <f t="shared" si="30"/>
        <v>0</v>
      </c>
      <c r="M43" s="2"/>
      <c r="N43" s="6">
        <f t="shared" si="31"/>
        <v>0</v>
      </c>
      <c r="O43" s="11"/>
      <c r="P43" s="7"/>
      <c r="Q43" s="2"/>
      <c r="R43" s="6">
        <f t="shared" si="32"/>
        <v>0</v>
      </c>
      <c r="S43" s="2"/>
      <c r="T43" s="7">
        <v>32</v>
      </c>
      <c r="U43" s="2"/>
      <c r="V43" s="6">
        <f t="shared" si="33"/>
        <v>1.3848576548093421E-4</v>
      </c>
      <c r="W43" s="2"/>
      <c r="X43" s="7">
        <f t="shared" si="34"/>
        <v>-32</v>
      </c>
      <c r="Y43" s="2"/>
      <c r="Z43" s="6">
        <f t="shared" si="35"/>
        <v>-1</v>
      </c>
    </row>
    <row r="44" spans="1:26" s="27" customFormat="1" outlineLevel="1" collapsed="1" x14ac:dyDescent="0.25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54.15</v>
      </c>
      <c r="E44" s="1"/>
      <c r="F44" s="5">
        <f t="shared" si="28"/>
        <v>7.8897648753903788E-5</v>
      </c>
      <c r="G44" s="1"/>
      <c r="H44" s="1">
        <f>SUM(OSRRefH22_4x_0)</f>
        <v>0</v>
      </c>
      <c r="I44" s="1"/>
      <c r="J44" s="5">
        <f t="shared" si="29"/>
        <v>0</v>
      </c>
      <c r="K44" s="1"/>
      <c r="L44" s="1">
        <f t="shared" si="30"/>
        <v>54.15</v>
      </c>
      <c r="M44" s="1"/>
      <c r="N44" s="5">
        <f t="shared" si="31"/>
        <v>0</v>
      </c>
      <c r="O44" s="14"/>
      <c r="P44" s="1">
        <f>SUM(OSRRefP22_4x_0)</f>
        <v>171.76</v>
      </c>
      <c r="Q44" s="1"/>
      <c r="R44" s="5">
        <f t="shared" si="32"/>
        <v>1.8268290112401781E-4</v>
      </c>
      <c r="S44" s="1"/>
      <c r="T44" s="1">
        <f>SUM(OSRRefT22_4x_0)</f>
        <v>0</v>
      </c>
      <c r="U44" s="1"/>
      <c r="V44" s="5">
        <f t="shared" si="33"/>
        <v>0</v>
      </c>
      <c r="W44" s="1"/>
      <c r="X44" s="1">
        <f t="shared" si="34"/>
        <v>171.76</v>
      </c>
      <c r="Y44" s="1"/>
      <c r="Z44" s="5">
        <f t="shared" si="35"/>
        <v>0</v>
      </c>
    </row>
    <row r="45" spans="1:26" s="24" customFormat="1" hidden="1" outlineLevel="2" x14ac:dyDescent="0.25">
      <c r="A45" s="28"/>
      <c r="B45" s="11" t="str">
        <f>CONCATENATE("          ", "6381", " - ", "BANK/CREDIT CARD FEES")</f>
        <v xml:space="preserve">          6381 - BANK/CREDIT CARD FEES</v>
      </c>
      <c r="C45" s="11"/>
      <c r="D45" s="7">
        <v>54.15</v>
      </c>
      <c r="E45" s="2"/>
      <c r="F45" s="6">
        <f t="shared" si="28"/>
        <v>7.8897648753903788E-5</v>
      </c>
      <c r="G45" s="2"/>
      <c r="H45" s="7"/>
      <c r="I45" s="2"/>
      <c r="J45" s="6">
        <f t="shared" si="29"/>
        <v>0</v>
      </c>
      <c r="K45" s="2"/>
      <c r="L45" s="7">
        <f t="shared" si="30"/>
        <v>54.15</v>
      </c>
      <c r="M45" s="2"/>
      <c r="N45" s="6">
        <f t="shared" si="31"/>
        <v>0</v>
      </c>
      <c r="O45" s="11"/>
      <c r="P45" s="7">
        <v>171.76</v>
      </c>
      <c r="Q45" s="2"/>
      <c r="R45" s="6">
        <f t="shared" si="32"/>
        <v>1.8268290112401781E-4</v>
      </c>
      <c r="S45" s="2"/>
      <c r="T45" s="7"/>
      <c r="U45" s="2"/>
      <c r="V45" s="6">
        <f t="shared" si="33"/>
        <v>0</v>
      </c>
      <c r="W45" s="2"/>
      <c r="X45" s="7">
        <f t="shared" si="34"/>
        <v>171.76</v>
      </c>
      <c r="Y45" s="2"/>
      <c r="Z45" s="6">
        <f t="shared" si="35"/>
        <v>0</v>
      </c>
    </row>
    <row r="46" spans="1:26" s="27" customFormat="1" outlineLevel="1" collapsed="1" x14ac:dyDescent="0.25">
      <c r="A46" s="29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273.51</v>
      </c>
      <c r="E46" s="1"/>
      <c r="F46" s="5">
        <f t="shared" si="28"/>
        <v>3.9850961977248801E-4</v>
      </c>
      <c r="G46" s="1"/>
      <c r="H46" s="1">
        <f>SUM(OSRRefH22_5x_0)</f>
        <v>272.74</v>
      </c>
      <c r="I46" s="1"/>
      <c r="J46" s="5">
        <f t="shared" si="29"/>
        <v>1.4790704535150836E-3</v>
      </c>
      <c r="K46" s="1"/>
      <c r="L46" s="1">
        <f t="shared" si="30"/>
        <v>0.76999999999998181</v>
      </c>
      <c r="M46" s="1"/>
      <c r="N46" s="5">
        <f t="shared" si="31"/>
        <v>2.8232015839260165E-3</v>
      </c>
      <c r="O46" s="14"/>
      <c r="P46" s="1">
        <f>SUM(OSRRefP22_5x_0)</f>
        <v>820.53</v>
      </c>
      <c r="Q46" s="1"/>
      <c r="R46" s="5">
        <f t="shared" si="32"/>
        <v>8.727107642017369E-4</v>
      </c>
      <c r="S46" s="1"/>
      <c r="T46" s="1">
        <f>SUM(OSRRefT22_5x_0)</f>
        <v>554</v>
      </c>
      <c r="U46" s="1"/>
      <c r="V46" s="5">
        <f t="shared" si="33"/>
        <v>2.3975348148886737E-3</v>
      </c>
      <c r="W46" s="1"/>
      <c r="X46" s="1">
        <f t="shared" si="34"/>
        <v>266.52999999999997</v>
      </c>
      <c r="Y46" s="1"/>
      <c r="Z46" s="5">
        <f t="shared" si="35"/>
        <v>0.48110108303249094</v>
      </c>
    </row>
    <row r="47" spans="1:26" s="24" customFormat="1" hidden="1" outlineLevel="2" x14ac:dyDescent="0.25">
      <c r="A47" s="28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273.51</v>
      </c>
      <c r="E47" s="2"/>
      <c r="F47" s="6">
        <f t="shared" si="28"/>
        <v>3.9850961977248801E-4</v>
      </c>
      <c r="G47" s="2"/>
      <c r="H47" s="7">
        <v>272.74</v>
      </c>
      <c r="I47" s="2"/>
      <c r="J47" s="6">
        <f t="shared" si="29"/>
        <v>1.4790704535150836E-3</v>
      </c>
      <c r="K47" s="2"/>
      <c r="L47" s="7">
        <f t="shared" si="30"/>
        <v>0.76999999999998181</v>
      </c>
      <c r="M47" s="2"/>
      <c r="N47" s="6">
        <f t="shared" si="31"/>
        <v>2.8232015839260165E-3</v>
      </c>
      <c r="O47" s="11"/>
      <c r="P47" s="7">
        <v>820.53</v>
      </c>
      <c r="Q47" s="2"/>
      <c r="R47" s="6">
        <f t="shared" si="32"/>
        <v>8.727107642017369E-4</v>
      </c>
      <c r="S47" s="2"/>
      <c r="T47" s="7">
        <v>554</v>
      </c>
      <c r="U47" s="2"/>
      <c r="V47" s="6">
        <f t="shared" si="33"/>
        <v>2.3975348148886737E-3</v>
      </c>
      <c r="W47" s="2"/>
      <c r="X47" s="7">
        <f t="shared" si="34"/>
        <v>266.52999999999997</v>
      </c>
      <c r="Y47" s="2"/>
      <c r="Z47" s="6">
        <f t="shared" si="35"/>
        <v>0.48110108303249094</v>
      </c>
    </row>
    <row r="48" spans="1:26" s="27" customFormat="1" outlineLevel="1" collapsed="1" x14ac:dyDescent="0.25">
      <c r="A48" s="29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2945.42</v>
      </c>
      <c r="E48" s="1"/>
      <c r="F48" s="5">
        <f t="shared" si="28"/>
        <v>4.2915367053134503E-3</v>
      </c>
      <c r="G48" s="1"/>
      <c r="H48" s="1">
        <f>SUM(OSRRefH22_6x_0)</f>
        <v>8888.07</v>
      </c>
      <c r="I48" s="1"/>
      <c r="J48" s="5">
        <f t="shared" si="29"/>
        <v>4.8200050325488769E-2</v>
      </c>
      <c r="K48" s="1"/>
      <c r="L48" s="1">
        <f t="shared" si="30"/>
        <v>-5942.65</v>
      </c>
      <c r="M48" s="1"/>
      <c r="N48" s="5">
        <f t="shared" si="31"/>
        <v>-0.66860972067051672</v>
      </c>
      <c r="O48" s="14"/>
      <c r="P48" s="1">
        <f>SUM(OSRRefP22_6x_0)</f>
        <v>4404.2700000000004</v>
      </c>
      <c r="Q48" s="1"/>
      <c r="R48" s="5">
        <f t="shared" si="32"/>
        <v>4.6843550357095831E-3</v>
      </c>
      <c r="S48" s="1"/>
      <c r="T48" s="1">
        <f>SUM(OSRRefT22_6x_0)</f>
        <v>11110.09</v>
      </c>
      <c r="U48" s="1"/>
      <c r="V48" s="5">
        <f t="shared" si="33"/>
        <v>4.8080916194127264E-2</v>
      </c>
      <c r="W48" s="1"/>
      <c r="X48" s="1">
        <f t="shared" si="34"/>
        <v>-6705.82</v>
      </c>
      <c r="Y48" s="1"/>
      <c r="Z48" s="5">
        <f t="shared" si="35"/>
        <v>-0.60357926893481506</v>
      </c>
    </row>
    <row r="49" spans="1:26" s="24" customFormat="1" hidden="1" outlineLevel="2" x14ac:dyDescent="0.25">
      <c r="A49" s="28"/>
      <c r="B49" s="11" t="str">
        <f>CONCATENATE("          ", "6399", " - ", "DONATION-ON CAMPUS")</f>
        <v xml:space="preserve">          6399 - DONATION-ON CAMPUS</v>
      </c>
      <c r="C49" s="11"/>
      <c r="D49" s="7">
        <v>2945.42</v>
      </c>
      <c r="E49" s="2"/>
      <c r="F49" s="6">
        <f t="shared" si="28"/>
        <v>4.2915367053134503E-3</v>
      </c>
      <c r="G49" s="2"/>
      <c r="H49" s="7">
        <v>8888.07</v>
      </c>
      <c r="I49" s="2"/>
      <c r="J49" s="6">
        <f t="shared" si="29"/>
        <v>4.8200050325488769E-2</v>
      </c>
      <c r="K49" s="2"/>
      <c r="L49" s="7">
        <f t="shared" si="30"/>
        <v>-5942.65</v>
      </c>
      <c r="M49" s="2"/>
      <c r="N49" s="6">
        <f t="shared" si="31"/>
        <v>-0.66860972067051672</v>
      </c>
      <c r="O49" s="11"/>
      <c r="P49" s="7">
        <v>4404.2700000000004</v>
      </c>
      <c r="Q49" s="2"/>
      <c r="R49" s="6">
        <f t="shared" si="32"/>
        <v>4.6843550357095831E-3</v>
      </c>
      <c r="S49" s="2"/>
      <c r="T49" s="7">
        <v>11110.09</v>
      </c>
      <c r="U49" s="2"/>
      <c r="V49" s="6">
        <f t="shared" si="33"/>
        <v>4.8080916194127264E-2</v>
      </c>
      <c r="W49" s="2"/>
      <c r="X49" s="7">
        <f t="shared" si="34"/>
        <v>-6705.82</v>
      </c>
      <c r="Y49" s="2"/>
      <c r="Z49" s="6">
        <f t="shared" si="35"/>
        <v>-0.60357926893481506</v>
      </c>
    </row>
    <row r="50" spans="1:26" s="27" customFormat="1" outlineLevel="1" collapsed="1" x14ac:dyDescent="0.25">
      <c r="A50" s="29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SUM(OSRRefD22_7x_0)</f>
        <v>135.26</v>
      </c>
      <c r="E50" s="1"/>
      <c r="F50" s="5">
        <f t="shared" si="28"/>
        <v>1.9707656455130243E-4</v>
      </c>
      <c r="G50" s="1"/>
      <c r="H50" s="1">
        <f>SUM(OSRRefH22_7x_0)</f>
        <v>485.2</v>
      </c>
      <c r="I50" s="1"/>
      <c r="J50" s="5">
        <f t="shared" si="29"/>
        <v>2.6312421501998918E-3</v>
      </c>
      <c r="K50" s="1"/>
      <c r="L50" s="1">
        <f t="shared" si="30"/>
        <v>-349.94</v>
      </c>
      <c r="M50" s="1"/>
      <c r="N50" s="5">
        <f t="shared" si="31"/>
        <v>-0.72122835943940644</v>
      </c>
      <c r="O50" s="14"/>
      <c r="P50" s="1">
        <f>SUM(OSRRefP22_7x_0)</f>
        <v>827.72</v>
      </c>
      <c r="Q50" s="1"/>
      <c r="R50" s="5">
        <f t="shared" si="32"/>
        <v>8.8035800488106672E-4</v>
      </c>
      <c r="S50" s="1"/>
      <c r="T50" s="1">
        <f>SUM(OSRRefT22_7x_0)</f>
        <v>1035.74</v>
      </c>
      <c r="U50" s="1"/>
      <c r="V50" s="5">
        <f t="shared" si="33"/>
        <v>4.4823514606007128E-3</v>
      </c>
      <c r="W50" s="1"/>
      <c r="X50" s="1">
        <f t="shared" si="34"/>
        <v>-208.01999999999998</v>
      </c>
      <c r="Y50" s="1"/>
      <c r="Z50" s="5">
        <f t="shared" si="35"/>
        <v>-0.20084191013188635</v>
      </c>
    </row>
    <row r="51" spans="1:26" s="24" customFormat="1" hidden="1" outlineLevel="2" x14ac:dyDescent="0.25">
      <c r="A51" s="28"/>
      <c r="B51" s="11" t="str">
        <f>CONCATENATE("          ", "6351", " - ", "EQUIPMENT RENTAL")</f>
        <v xml:space="preserve">          6351 - EQUIPMENT RENTAL</v>
      </c>
      <c r="C51" s="11"/>
      <c r="D51" s="7">
        <v>135.26</v>
      </c>
      <c r="E51" s="2"/>
      <c r="F51" s="6">
        <f t="shared" si="28"/>
        <v>1.9707656455130243E-4</v>
      </c>
      <c r="G51" s="2"/>
      <c r="H51" s="7">
        <v>485.2</v>
      </c>
      <c r="I51" s="2"/>
      <c r="J51" s="6">
        <f t="shared" si="29"/>
        <v>2.6312421501998918E-3</v>
      </c>
      <c r="K51" s="2"/>
      <c r="L51" s="7">
        <f t="shared" si="30"/>
        <v>-349.94</v>
      </c>
      <c r="M51" s="2"/>
      <c r="N51" s="6">
        <f t="shared" si="31"/>
        <v>-0.72122835943940644</v>
      </c>
      <c r="O51" s="11"/>
      <c r="P51" s="7">
        <v>827.72</v>
      </c>
      <c r="Q51" s="2"/>
      <c r="R51" s="6">
        <f t="shared" si="32"/>
        <v>8.8035800488106672E-4</v>
      </c>
      <c r="S51" s="2"/>
      <c r="T51" s="7">
        <v>1035.74</v>
      </c>
      <c r="U51" s="2"/>
      <c r="V51" s="6">
        <f t="shared" si="33"/>
        <v>4.4823514606007128E-3</v>
      </c>
      <c r="W51" s="2"/>
      <c r="X51" s="7">
        <f t="shared" si="34"/>
        <v>-208.01999999999998</v>
      </c>
      <c r="Y51" s="2"/>
      <c r="Z51" s="6">
        <f t="shared" si="35"/>
        <v>-0.20084191013188635</v>
      </c>
    </row>
    <row r="52" spans="1:26" s="27" customFormat="1" outlineLevel="1" collapsed="1" x14ac:dyDescent="0.25">
      <c r="A52" s="29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SUM(OSRRefD22_8x_0)</f>
        <v>0</v>
      </c>
      <c r="E52" s="1"/>
      <c r="F52" s="5">
        <f t="shared" si="28"/>
        <v>0</v>
      </c>
      <c r="G52" s="1"/>
      <c r="H52" s="1">
        <f>SUM(OSRRefH22_8x_0)</f>
        <v>0</v>
      </c>
      <c r="I52" s="1"/>
      <c r="J52" s="5">
        <f t="shared" si="29"/>
        <v>0</v>
      </c>
      <c r="K52" s="1"/>
      <c r="L52" s="1">
        <f t="shared" si="30"/>
        <v>0</v>
      </c>
      <c r="M52" s="1"/>
      <c r="N52" s="5">
        <f t="shared" si="31"/>
        <v>0</v>
      </c>
      <c r="O52" s="14"/>
      <c r="P52" s="1">
        <f>SUM(OSRRefP22_8x_0)</f>
        <v>1557.93</v>
      </c>
      <c r="Q52" s="1"/>
      <c r="R52" s="5">
        <f t="shared" si="32"/>
        <v>1.657004961272363E-3</v>
      </c>
      <c r="S52" s="1"/>
      <c r="T52" s="1">
        <f>SUM(OSRRefT22_8x_0)</f>
        <v>1439.55</v>
      </c>
      <c r="U52" s="1"/>
      <c r="V52" s="5">
        <f t="shared" si="33"/>
        <v>6.2299119905649637E-3</v>
      </c>
      <c r="W52" s="1"/>
      <c r="X52" s="1">
        <f t="shared" si="34"/>
        <v>118.38000000000011</v>
      </c>
      <c r="Y52" s="1"/>
      <c r="Z52" s="5">
        <f t="shared" si="35"/>
        <v>8.2234031468167212E-2</v>
      </c>
    </row>
    <row r="53" spans="1:26" s="24" customFormat="1" hidden="1" outlineLevel="2" x14ac:dyDescent="0.25">
      <c r="A53" s="28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28"/>
        <v>0</v>
      </c>
      <c r="G53" s="2"/>
      <c r="H53" s="7"/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1557.93</v>
      </c>
      <c r="Q53" s="2"/>
      <c r="R53" s="6">
        <f t="shared" si="32"/>
        <v>1.657004961272363E-3</v>
      </c>
      <c r="S53" s="2"/>
      <c r="T53" s="7">
        <v>1439.55</v>
      </c>
      <c r="U53" s="2"/>
      <c r="V53" s="6">
        <f t="shared" si="33"/>
        <v>6.2299119905649637E-3</v>
      </c>
      <c r="W53" s="2"/>
      <c r="X53" s="7">
        <f t="shared" si="34"/>
        <v>118.38000000000011</v>
      </c>
      <c r="Y53" s="2"/>
      <c r="Z53" s="6">
        <f t="shared" si="35"/>
        <v>8.2234031468167212E-2</v>
      </c>
    </row>
    <row r="54" spans="1:26" s="27" customFormat="1" outlineLevel="1" collapsed="1" x14ac:dyDescent="0.25">
      <c r="A54" s="29"/>
      <c r="B54" s="14" t="str">
        <f>CONCATENATE("     ","R/H Commissions                                   ")</f>
        <v xml:space="preserve">     R/H Commissions                                   </v>
      </c>
      <c r="C54" s="14"/>
      <c r="D54" s="1">
        <f>SUM(OSRRefD22_9x_0)</f>
        <v>51101.53</v>
      </c>
      <c r="E54" s="1"/>
      <c r="F54" s="5">
        <f t="shared" si="28"/>
        <v>7.4455966107609919E-2</v>
      </c>
      <c r="G54" s="1"/>
      <c r="H54" s="1">
        <f>SUM(OSRRefH22_9x_0)</f>
        <v>11792.03</v>
      </c>
      <c r="I54" s="1"/>
      <c r="J54" s="5">
        <f t="shared" si="29"/>
        <v>6.3948240668634859E-2</v>
      </c>
      <c r="K54" s="1"/>
      <c r="L54" s="1">
        <f t="shared" si="30"/>
        <v>39309.5</v>
      </c>
      <c r="M54" s="1"/>
      <c r="N54" s="5">
        <f t="shared" si="31"/>
        <v>3.3335651283112404</v>
      </c>
      <c r="O54" s="14"/>
      <c r="P54" s="1">
        <f>SUM(OSRRefP22_9x_0)</f>
        <v>71294.92</v>
      </c>
      <c r="Q54" s="1"/>
      <c r="R54" s="5">
        <f t="shared" si="32"/>
        <v>7.5828847350982526E-2</v>
      </c>
      <c r="S54" s="1"/>
      <c r="T54" s="1">
        <f>SUM(OSRRefT22_9x_0)</f>
        <v>15181.84</v>
      </c>
      <c r="U54" s="1"/>
      <c r="V54" s="5">
        <f t="shared" si="33"/>
        <v>6.5702147931533325E-2</v>
      </c>
      <c r="W54" s="1"/>
      <c r="X54" s="1">
        <f t="shared" si="34"/>
        <v>56113.08</v>
      </c>
      <c r="Y54" s="1"/>
      <c r="Z54" s="5">
        <f t="shared" si="35"/>
        <v>3.6960658260131845</v>
      </c>
    </row>
    <row r="55" spans="1:26" s="24" customFormat="1" hidden="1" outlineLevel="2" x14ac:dyDescent="0.25">
      <c r="A55" s="28"/>
      <c r="B55" s="11" t="str">
        <f>CONCATENATE("          ", "6387", " - ", "COMMISSION DUE HOUSING")</f>
        <v xml:space="preserve">          6387 - COMMISSION DUE HOUSING</v>
      </c>
      <c r="C55" s="11"/>
      <c r="D55" s="7">
        <v>51101.53</v>
      </c>
      <c r="E55" s="2"/>
      <c r="F55" s="6">
        <f t="shared" si="28"/>
        <v>7.4455966107609919E-2</v>
      </c>
      <c r="G55" s="2"/>
      <c r="H55" s="7">
        <v>11792.03</v>
      </c>
      <c r="I55" s="2"/>
      <c r="J55" s="6">
        <f t="shared" si="29"/>
        <v>6.3948240668634859E-2</v>
      </c>
      <c r="K55" s="2"/>
      <c r="L55" s="7">
        <f t="shared" si="30"/>
        <v>39309.5</v>
      </c>
      <c r="M55" s="2"/>
      <c r="N55" s="6">
        <f t="shared" si="31"/>
        <v>3.3335651283112404</v>
      </c>
      <c r="O55" s="11"/>
      <c r="P55" s="7">
        <v>71294.92</v>
      </c>
      <c r="Q55" s="2"/>
      <c r="R55" s="6">
        <f t="shared" si="32"/>
        <v>7.5828847350982526E-2</v>
      </c>
      <c r="S55" s="2"/>
      <c r="T55" s="7">
        <v>15181.84</v>
      </c>
      <c r="U55" s="2"/>
      <c r="V55" s="6">
        <f t="shared" si="33"/>
        <v>6.5702147931533325E-2</v>
      </c>
      <c r="W55" s="2"/>
      <c r="X55" s="7">
        <f t="shared" si="34"/>
        <v>56113.08</v>
      </c>
      <c r="Y55" s="2"/>
      <c r="Z55" s="6">
        <f t="shared" si="35"/>
        <v>3.6960658260131845</v>
      </c>
    </row>
    <row r="56" spans="1:26" s="27" customFormat="1" outlineLevel="1" collapsed="1" x14ac:dyDescent="0.25">
      <c r="A56" s="29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SUM(OSRRefD22_10x_0)</f>
        <v>83.83</v>
      </c>
      <c r="E56" s="1"/>
      <c r="F56" s="5">
        <f t="shared" si="28"/>
        <v>1.2214201098873048E-4</v>
      </c>
      <c r="G56" s="1"/>
      <c r="H56" s="1">
        <f>SUM(OSRRefH22_10x_0)</f>
        <v>293.48</v>
      </c>
      <c r="I56" s="1"/>
      <c r="J56" s="5">
        <f t="shared" si="29"/>
        <v>1.5915435825240402E-3</v>
      </c>
      <c r="K56" s="1"/>
      <c r="L56" s="1">
        <f t="shared" si="30"/>
        <v>-209.65000000000003</v>
      </c>
      <c r="M56" s="1"/>
      <c r="N56" s="5">
        <f t="shared" si="31"/>
        <v>-0.71435872972604619</v>
      </c>
      <c r="O56" s="14"/>
      <c r="P56" s="1">
        <f>SUM(OSRRefP22_10x_0)</f>
        <v>755.13</v>
      </c>
      <c r="Q56" s="1"/>
      <c r="R56" s="5">
        <f t="shared" si="32"/>
        <v>8.0315171824510694E-4</v>
      </c>
      <c r="S56" s="1"/>
      <c r="T56" s="1">
        <f>SUM(OSRRefT22_10x_0)</f>
        <v>1683.68</v>
      </c>
      <c r="U56" s="1"/>
      <c r="V56" s="5">
        <f t="shared" si="33"/>
        <v>7.2864285507793546E-3</v>
      </c>
      <c r="W56" s="1"/>
      <c r="X56" s="1">
        <f t="shared" si="34"/>
        <v>-928.55000000000007</v>
      </c>
      <c r="Y56" s="1"/>
      <c r="Z56" s="5">
        <f t="shared" si="35"/>
        <v>-0.55150028508980331</v>
      </c>
    </row>
    <row r="57" spans="1:26" s="24" customFormat="1" hidden="1" outlineLevel="2" x14ac:dyDescent="0.25">
      <c r="A57" s="28"/>
      <c r="B57" s="11" t="str">
        <f>CONCATENATE("          ", "6373", " - ", "MAINTENANCE CONTRACTS")</f>
        <v xml:space="preserve">          6373 - MAINTENANCE CONTRACTS</v>
      </c>
      <c r="C57" s="11"/>
      <c r="D57" s="7">
        <v>83.83</v>
      </c>
      <c r="E57" s="2"/>
      <c r="F57" s="6">
        <f t="shared" si="28"/>
        <v>1.2214201098873048E-4</v>
      </c>
      <c r="G57" s="2"/>
      <c r="H57" s="7">
        <v>88.48</v>
      </c>
      <c r="I57" s="2"/>
      <c r="J57" s="6">
        <f t="shared" si="29"/>
        <v>4.7982750504881792E-4</v>
      </c>
      <c r="K57" s="2"/>
      <c r="L57" s="7">
        <f t="shared" si="30"/>
        <v>-4.6500000000000057</v>
      </c>
      <c r="M57" s="2"/>
      <c r="N57" s="6">
        <f t="shared" si="31"/>
        <v>-5.2554249547920498E-2</v>
      </c>
      <c r="O57" s="11"/>
      <c r="P57" s="7">
        <v>97.83</v>
      </c>
      <c r="Q57" s="2"/>
      <c r="R57" s="6">
        <f t="shared" si="32"/>
        <v>1.0405139856172952E-4</v>
      </c>
      <c r="S57" s="2"/>
      <c r="T57" s="7">
        <v>1478.68</v>
      </c>
      <c r="U57" s="2"/>
      <c r="V57" s="6">
        <f t="shared" si="33"/>
        <v>6.3992541156671192E-3</v>
      </c>
      <c r="W57" s="2"/>
      <c r="X57" s="7">
        <f t="shared" si="34"/>
        <v>-1380.8500000000001</v>
      </c>
      <c r="Y57" s="2"/>
      <c r="Z57" s="6">
        <f t="shared" si="35"/>
        <v>-0.93383964076067849</v>
      </c>
    </row>
    <row r="58" spans="1:26" s="24" customFormat="1" hidden="1" outlineLevel="2" x14ac:dyDescent="0.25">
      <c r="A58" s="28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28"/>
        <v>0</v>
      </c>
      <c r="G58" s="2"/>
      <c r="H58" s="7">
        <v>205</v>
      </c>
      <c r="I58" s="2"/>
      <c r="J58" s="6">
        <f t="shared" si="29"/>
        <v>1.1117160774752222E-3</v>
      </c>
      <c r="K58" s="2"/>
      <c r="L58" s="7">
        <f t="shared" si="30"/>
        <v>-205</v>
      </c>
      <c r="M58" s="2"/>
      <c r="N58" s="6">
        <f t="shared" si="31"/>
        <v>-1</v>
      </c>
      <c r="O58" s="11"/>
      <c r="P58" s="7">
        <v>657.3</v>
      </c>
      <c r="Q58" s="2"/>
      <c r="R58" s="6">
        <f t="shared" si="32"/>
        <v>6.9910031968337734E-4</v>
      </c>
      <c r="S58" s="2"/>
      <c r="T58" s="7">
        <v>205</v>
      </c>
      <c r="U58" s="2"/>
      <c r="V58" s="6">
        <f t="shared" si="33"/>
        <v>8.8717443511223488E-4</v>
      </c>
      <c r="W58" s="2"/>
      <c r="X58" s="7">
        <f t="shared" si="34"/>
        <v>452.29999999999995</v>
      </c>
      <c r="Y58" s="2"/>
      <c r="Z58" s="6">
        <f t="shared" si="35"/>
        <v>2.2063414634146339</v>
      </c>
    </row>
    <row r="59" spans="1:26" s="27" customFormat="1" outlineLevel="1" collapsed="1" x14ac:dyDescent="0.25">
      <c r="A59" s="29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SUM(OSRRefD22_11x_0)</f>
        <v>6297.38</v>
      </c>
      <c r="E59" s="1"/>
      <c r="F59" s="5">
        <f t="shared" ref="F59:F62" si="36">IF(D$12=0,0,D59/D$12)</f>
        <v>9.1754104397019157E-3</v>
      </c>
      <c r="G59" s="1"/>
      <c r="H59" s="1">
        <f>SUM(OSRRefH22_11x_0)</f>
        <v>8805.49</v>
      </c>
      <c r="I59" s="1"/>
      <c r="J59" s="5">
        <f t="shared" ref="J59:J62" si="37">IF(H$12=0,0,H59/H$12)</f>
        <v>4.7752218551450218E-2</v>
      </c>
      <c r="K59" s="1"/>
      <c r="L59" s="1">
        <f t="shared" ref="L59:L62" si="38">+D59-H59</f>
        <v>-2508.1099999999997</v>
      </c>
      <c r="M59" s="1"/>
      <c r="N59" s="5">
        <f t="shared" ref="N59:N62" si="39">IF(H59=0,0,L59/H59)</f>
        <v>-0.28483480192470828</v>
      </c>
      <c r="O59" s="14"/>
      <c r="P59" s="1">
        <f>SUM(OSRRefP22_11x_0)</f>
        <v>18201.330000000002</v>
      </c>
      <c r="Q59" s="1"/>
      <c r="R59" s="5">
        <f t="shared" ref="R59:R62" si="40">IF(P$12=0,0,P59/P$12)</f>
        <v>1.9358824922657308E-2</v>
      </c>
      <c r="S59" s="1"/>
      <c r="T59" s="1">
        <f>SUM(OSRRefT22_11x_0)</f>
        <v>10707.11</v>
      </c>
      <c r="U59" s="1"/>
      <c r="V59" s="5">
        <f t="shared" ref="V59:V62" si="41">IF(T$12=0,0,T59/T$12)</f>
        <v>4.6336947638705175E-2</v>
      </c>
      <c r="W59" s="1"/>
      <c r="X59" s="1">
        <f t="shared" ref="X59:X62" si="42">+P59-T59</f>
        <v>7494.2200000000012</v>
      </c>
      <c r="Y59" s="1"/>
      <c r="Z59" s="5">
        <f t="shared" ref="Z59:Z62" si="43">IF(T59=0,0,X59/T59)</f>
        <v>0.69992929931606196</v>
      </c>
    </row>
    <row r="60" spans="1:26" s="24" customFormat="1" hidden="1" outlineLevel="2" x14ac:dyDescent="0.25">
      <c r="A60" s="28"/>
      <c r="B60" s="11" t="str">
        <f>CONCATENATE("          ", "6282", " - ", "JANITORIAL/EXTERMINATOR EXPENS")</f>
        <v xml:space="preserve">          6282 - JANITORIAL/EXTERMINATOR EXPENS</v>
      </c>
      <c r="C60" s="11"/>
      <c r="D60" s="7">
        <v>459.25</v>
      </c>
      <c r="E60" s="2"/>
      <c r="F60" s="6">
        <f t="shared" si="36"/>
        <v>6.6913656860997819E-4</v>
      </c>
      <c r="G60" s="2"/>
      <c r="H60" s="7"/>
      <c r="I60" s="2"/>
      <c r="J60" s="6">
        <f t="shared" si="37"/>
        <v>0</v>
      </c>
      <c r="K60" s="2"/>
      <c r="L60" s="7">
        <f t="shared" si="38"/>
        <v>459.25</v>
      </c>
      <c r="M60" s="2"/>
      <c r="N60" s="6">
        <f t="shared" si="39"/>
        <v>0</v>
      </c>
      <c r="O60" s="11"/>
      <c r="P60" s="7">
        <v>1301.93</v>
      </c>
      <c r="Q60" s="2"/>
      <c r="R60" s="6">
        <f t="shared" si="40"/>
        <v>1.3847249037051265E-3</v>
      </c>
      <c r="S60" s="2"/>
      <c r="T60" s="7">
        <v>842.68</v>
      </c>
      <c r="U60" s="2"/>
      <c r="V60" s="6">
        <f t="shared" si="41"/>
        <v>3.6468495267335511E-3</v>
      </c>
      <c r="W60" s="2"/>
      <c r="X60" s="7">
        <f t="shared" si="42"/>
        <v>459.25000000000011</v>
      </c>
      <c r="Y60" s="2"/>
      <c r="Z60" s="6">
        <f t="shared" si="43"/>
        <v>0.54498742108510956</v>
      </c>
    </row>
    <row r="61" spans="1:26" s="24" customFormat="1" hidden="1" outlineLevel="2" x14ac:dyDescent="0.25">
      <c r="A61" s="28"/>
      <c r="B61" s="11" t="str">
        <f>CONCATENATE("          ", "6285", " - ", "JANITORIAL SERVICES")</f>
        <v xml:space="preserve">          6285 - JANITORIAL SERVICES</v>
      </c>
      <c r="C61" s="11"/>
      <c r="D61" s="7">
        <v>4668.33</v>
      </c>
      <c r="E61" s="2"/>
      <c r="F61" s="6">
        <f t="shared" si="36"/>
        <v>6.8018515347610655E-3</v>
      </c>
      <c r="G61" s="2"/>
      <c r="H61" s="7">
        <v>7620.33</v>
      </c>
      <c r="I61" s="2"/>
      <c r="J61" s="6">
        <f t="shared" si="37"/>
        <v>4.132508964227688E-2</v>
      </c>
      <c r="K61" s="2"/>
      <c r="L61" s="7">
        <f t="shared" si="38"/>
        <v>-2952</v>
      </c>
      <c r="M61" s="2"/>
      <c r="N61" s="6">
        <f t="shared" si="39"/>
        <v>-0.38738479829613681</v>
      </c>
      <c r="O61" s="11"/>
      <c r="P61" s="7">
        <v>13604.99</v>
      </c>
      <c r="Q61" s="2"/>
      <c r="R61" s="6">
        <f t="shared" si="40"/>
        <v>1.4470185392194055E-2</v>
      </c>
      <c r="S61" s="2"/>
      <c r="T61" s="7">
        <v>7620.33</v>
      </c>
      <c r="U61" s="2"/>
      <c r="V61" s="6">
        <f t="shared" si="41"/>
        <v>3.2978351039603983E-2</v>
      </c>
      <c r="W61" s="2"/>
      <c r="X61" s="7">
        <f t="shared" si="42"/>
        <v>5984.66</v>
      </c>
      <c r="Y61" s="2"/>
      <c r="Z61" s="6">
        <f t="shared" si="43"/>
        <v>0.78535444003081234</v>
      </c>
    </row>
    <row r="62" spans="1:26" s="24" customFormat="1" hidden="1" outlineLevel="2" x14ac:dyDescent="0.25">
      <c r="A62" s="28"/>
      <c r="B62" s="11" t="str">
        <f>CONCATENATE("          ", "6286", " - ", "LAUNDRY EXPENSE")</f>
        <v xml:space="preserve">          6286 - LAUNDRY EXPENSE</v>
      </c>
      <c r="C62" s="11"/>
      <c r="D62" s="7">
        <v>1169.8</v>
      </c>
      <c r="E62" s="2"/>
      <c r="F62" s="6">
        <f t="shared" si="36"/>
        <v>1.7044223363308708E-3</v>
      </c>
      <c r="G62" s="2"/>
      <c r="H62" s="7">
        <v>1185.1600000000001</v>
      </c>
      <c r="I62" s="2"/>
      <c r="J62" s="6">
        <f t="shared" si="37"/>
        <v>6.4271289091733389E-3</v>
      </c>
      <c r="K62" s="2"/>
      <c r="L62" s="7">
        <f t="shared" si="38"/>
        <v>-15.360000000000127</v>
      </c>
      <c r="M62" s="2"/>
      <c r="N62" s="6">
        <f t="shared" si="39"/>
        <v>-1.296027540585248E-2</v>
      </c>
      <c r="O62" s="11"/>
      <c r="P62" s="7">
        <v>3294.41</v>
      </c>
      <c r="Q62" s="2"/>
      <c r="R62" s="6">
        <f t="shared" si="40"/>
        <v>3.5039146267581245E-3</v>
      </c>
      <c r="S62" s="2"/>
      <c r="T62" s="7">
        <v>2244.1</v>
      </c>
      <c r="U62" s="2"/>
      <c r="V62" s="6">
        <f t="shared" si="41"/>
        <v>9.7117470723676394E-3</v>
      </c>
      <c r="W62" s="2"/>
      <c r="X62" s="7">
        <f t="shared" si="42"/>
        <v>1050.31</v>
      </c>
      <c r="Y62" s="2"/>
      <c r="Z62" s="6">
        <f t="shared" si="43"/>
        <v>0.46803172764137069</v>
      </c>
    </row>
    <row r="63" spans="1:26" s="27" customFormat="1" outlineLevel="1" collapsed="1" x14ac:dyDescent="0.25">
      <c r="A63" s="29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SUM(OSRRefD22_12x_0)</f>
        <v>20098.71</v>
      </c>
      <c r="E63" s="1"/>
      <c r="F63" s="5">
        <f t="shared" ref="F63:F70" si="44">IF(D$12=0,0,D63/D$12)</f>
        <v>2.928422829153414E-2</v>
      </c>
      <c r="G63" s="1"/>
      <c r="H63" s="1">
        <f>SUM(OSRRefH22_12x_0)</f>
        <v>7399.3399999999992</v>
      </c>
      <c r="I63" s="1"/>
      <c r="J63" s="5">
        <f t="shared" ref="J63:J70" si="45">IF(H$12=0,0,H63/H$12)</f>
        <v>4.0126659710758586E-2</v>
      </c>
      <c r="K63" s="1"/>
      <c r="L63" s="1">
        <f t="shared" ref="L63:L70" si="46">+D63-H63</f>
        <v>12699.369999999999</v>
      </c>
      <c r="M63" s="1"/>
      <c r="N63" s="5">
        <f t="shared" ref="N63:N70" si="47">IF(H63=0,0,L63/H63)</f>
        <v>1.7162841550732904</v>
      </c>
      <c r="O63" s="14"/>
      <c r="P63" s="1">
        <f>SUM(OSRRefP22_12x_0)</f>
        <v>34411.119999999995</v>
      </c>
      <c r="Q63" s="1"/>
      <c r="R63" s="5">
        <f t="shared" ref="R63:R70" si="48">IF(P$12=0,0,P63/P$12)</f>
        <v>3.6599459900597993E-2</v>
      </c>
      <c r="S63" s="1"/>
      <c r="T63" s="1">
        <f>SUM(OSRRefT22_12x_0)</f>
        <v>22051.47</v>
      </c>
      <c r="U63" s="1"/>
      <c r="V63" s="5">
        <f t="shared" ref="V63:V70" si="49">IF(T$12=0,0,T63/T$12)</f>
        <v>9.5431709466558018E-2</v>
      </c>
      <c r="W63" s="1"/>
      <c r="X63" s="1">
        <f t="shared" ref="X63:X70" si="50">+P63-T63</f>
        <v>12359.649999999994</v>
      </c>
      <c r="Y63" s="1"/>
      <c r="Z63" s="5">
        <f t="shared" ref="Z63:Z70" si="51">IF(T63=0,0,X63/T63)</f>
        <v>0.56049097860596109</v>
      </c>
    </row>
    <row r="64" spans="1:26" s="24" customFormat="1" hidden="1" outlineLevel="2" x14ac:dyDescent="0.25">
      <c r="A64" s="28"/>
      <c r="B64" s="11" t="str">
        <f>CONCATENATE("          ", "6235", " - ", "COVID-19 EXPENSES")</f>
        <v xml:space="preserve">          6235 - COVID-19 EXPENSES</v>
      </c>
      <c r="C64" s="11"/>
      <c r="D64" s="7"/>
      <c r="E64" s="2"/>
      <c r="F64" s="6">
        <f t="shared" si="44"/>
        <v>0</v>
      </c>
      <c r="G64" s="2"/>
      <c r="H64" s="7">
        <v>3651.67</v>
      </c>
      <c r="I64" s="2"/>
      <c r="J64" s="6">
        <f t="shared" si="45"/>
        <v>1.9803025603092415E-2</v>
      </c>
      <c r="K64" s="2"/>
      <c r="L64" s="7">
        <f t="shared" si="46"/>
        <v>-3651.67</v>
      </c>
      <c r="M64" s="2"/>
      <c r="N64" s="6">
        <f t="shared" si="47"/>
        <v>-1</v>
      </c>
      <c r="O64" s="11"/>
      <c r="P64" s="7"/>
      <c r="Q64" s="2"/>
      <c r="R64" s="6">
        <f t="shared" si="48"/>
        <v>0</v>
      </c>
      <c r="S64" s="2"/>
      <c r="T64" s="7">
        <v>11276.82</v>
      </c>
      <c r="U64" s="2"/>
      <c r="V64" s="6">
        <f t="shared" si="49"/>
        <v>4.880247030908464E-2</v>
      </c>
      <c r="W64" s="2"/>
      <c r="X64" s="7">
        <f t="shared" si="50"/>
        <v>-11276.82</v>
      </c>
      <c r="Y64" s="2"/>
      <c r="Z64" s="6">
        <f t="shared" si="51"/>
        <v>-1</v>
      </c>
    </row>
    <row r="65" spans="1:26" s="24" customFormat="1" hidden="1" outlineLevel="2" x14ac:dyDescent="0.25">
      <c r="A65" s="28"/>
      <c r="B65" s="11" t="str">
        <f>CONCATENATE("          ", "6237", " - ", "JANITORIAL SUPPLIES")</f>
        <v xml:space="preserve">          6237 - JANITORIAL SUPPLIES</v>
      </c>
      <c r="C65" s="11"/>
      <c r="D65" s="7">
        <v>3997.04</v>
      </c>
      <c r="E65" s="2"/>
      <c r="F65" s="6">
        <f t="shared" si="44"/>
        <v>5.8237683836621168E-3</v>
      </c>
      <c r="G65" s="2"/>
      <c r="H65" s="7">
        <v>2125.81</v>
      </c>
      <c r="I65" s="2"/>
      <c r="J65" s="6">
        <f t="shared" si="45"/>
        <v>1.1528278803207816E-2</v>
      </c>
      <c r="K65" s="2"/>
      <c r="L65" s="7">
        <f t="shared" si="46"/>
        <v>1871.23</v>
      </c>
      <c r="M65" s="2"/>
      <c r="N65" s="6">
        <f t="shared" si="47"/>
        <v>0.88024329549677538</v>
      </c>
      <c r="O65" s="11"/>
      <c r="P65" s="7">
        <v>7698.99</v>
      </c>
      <c r="Q65" s="2"/>
      <c r="R65" s="6">
        <f t="shared" si="48"/>
        <v>8.1885993765999174E-3</v>
      </c>
      <c r="S65" s="2"/>
      <c r="T65" s="7">
        <v>3542.72</v>
      </c>
      <c r="U65" s="2"/>
      <c r="V65" s="6">
        <f t="shared" si="49"/>
        <v>1.5331759096394226E-2</v>
      </c>
      <c r="W65" s="2"/>
      <c r="X65" s="7">
        <f t="shared" si="50"/>
        <v>4156.2700000000004</v>
      </c>
      <c r="Y65" s="2"/>
      <c r="Z65" s="6">
        <f t="shared" si="51"/>
        <v>1.1731861394634633</v>
      </c>
    </row>
    <row r="66" spans="1:26" s="24" customFormat="1" hidden="1" outlineLevel="2" x14ac:dyDescent="0.25">
      <c r="A66" s="28"/>
      <c r="B66" s="11" t="str">
        <f>CONCATENATE("          ", "6239", " - ", "KITCHEN SUPPLIES")</f>
        <v xml:space="preserve">          6239 - KITCHEN SUPPLIES</v>
      </c>
      <c r="C66" s="11"/>
      <c r="D66" s="7">
        <v>3028.13</v>
      </c>
      <c r="E66" s="2"/>
      <c r="F66" s="6">
        <f t="shared" si="44"/>
        <v>4.4120468535763383E-3</v>
      </c>
      <c r="G66" s="2"/>
      <c r="H66" s="7">
        <v>553.01</v>
      </c>
      <c r="I66" s="2"/>
      <c r="J66" s="6">
        <f t="shared" si="45"/>
        <v>2.9989761366076713E-3</v>
      </c>
      <c r="K66" s="2"/>
      <c r="L66" s="7">
        <f t="shared" si="46"/>
        <v>2475.12</v>
      </c>
      <c r="M66" s="2"/>
      <c r="N66" s="6">
        <f t="shared" si="47"/>
        <v>4.4757237662971736</v>
      </c>
      <c r="O66" s="11"/>
      <c r="P66" s="7">
        <v>4044.94</v>
      </c>
      <c r="Q66" s="2"/>
      <c r="R66" s="6">
        <f t="shared" si="48"/>
        <v>4.3021738127188205E-3</v>
      </c>
      <c r="S66" s="2"/>
      <c r="T66" s="7">
        <v>1896.25</v>
      </c>
      <c r="U66" s="2"/>
      <c r="V66" s="6">
        <f t="shared" si="49"/>
        <v>8.2063635247881725E-3</v>
      </c>
      <c r="W66" s="2"/>
      <c r="X66" s="7">
        <f t="shared" si="50"/>
        <v>2148.69</v>
      </c>
      <c r="Y66" s="2"/>
      <c r="Z66" s="6">
        <f t="shared" si="51"/>
        <v>1.1331259063941992</v>
      </c>
    </row>
    <row r="67" spans="1:26" s="24" customFormat="1" hidden="1" outlineLevel="2" x14ac:dyDescent="0.25">
      <c r="A67" s="28"/>
      <c r="B67" s="11" t="str">
        <f>CONCATENATE("          ", "6241", " - ", "OFFICE EXPENSE")</f>
        <v xml:space="preserve">          6241 - OFFICE EXPENSE</v>
      </c>
      <c r="C67" s="11"/>
      <c r="D67" s="7">
        <v>329.73</v>
      </c>
      <c r="E67" s="2"/>
      <c r="F67" s="6">
        <f t="shared" si="44"/>
        <v>4.8042330052861865E-4</v>
      </c>
      <c r="G67" s="2"/>
      <c r="H67" s="7">
        <v>765.15</v>
      </c>
      <c r="I67" s="2"/>
      <c r="J67" s="6">
        <f t="shared" si="45"/>
        <v>4.1494124716105673E-3</v>
      </c>
      <c r="K67" s="2"/>
      <c r="L67" s="7">
        <f t="shared" si="46"/>
        <v>-435.41999999999996</v>
      </c>
      <c r="M67" s="2"/>
      <c r="N67" s="6">
        <f t="shared" si="47"/>
        <v>-0.56906488923740439</v>
      </c>
      <c r="O67" s="11"/>
      <c r="P67" s="7">
        <v>1698.81</v>
      </c>
      <c r="Q67" s="2"/>
      <c r="R67" s="6">
        <f t="shared" si="48"/>
        <v>1.8068440804523329E-3</v>
      </c>
      <c r="S67" s="2"/>
      <c r="T67" s="7">
        <v>870.38</v>
      </c>
      <c r="U67" s="2"/>
      <c r="V67" s="6">
        <f t="shared" si="49"/>
        <v>3.7667262674779853E-3</v>
      </c>
      <c r="W67" s="2"/>
      <c r="X67" s="7">
        <f t="shared" si="50"/>
        <v>828.43</v>
      </c>
      <c r="Y67" s="2"/>
      <c r="Z67" s="6">
        <f t="shared" si="51"/>
        <v>0.95180266090673038</v>
      </c>
    </row>
    <row r="68" spans="1:26" s="24" customFormat="1" hidden="1" outlineLevel="2" x14ac:dyDescent="0.25">
      <c r="A68" s="28"/>
      <c r="B68" s="11" t="str">
        <f>CONCATENATE("          ", "6243", " - ", "PAPER SUPPLIES")</f>
        <v xml:space="preserve">          6243 - PAPER SUPPLIES</v>
      </c>
      <c r="C68" s="11"/>
      <c r="D68" s="7">
        <v>12616.47</v>
      </c>
      <c r="E68" s="2"/>
      <c r="F68" s="6">
        <f t="shared" si="44"/>
        <v>1.8382452789919936E-2</v>
      </c>
      <c r="G68" s="2"/>
      <c r="H68" s="7"/>
      <c r="I68" s="2"/>
      <c r="J68" s="6">
        <f t="shared" si="45"/>
        <v>0</v>
      </c>
      <c r="K68" s="2"/>
      <c r="L68" s="7">
        <f t="shared" si="46"/>
        <v>12616.47</v>
      </c>
      <c r="M68" s="2"/>
      <c r="N68" s="6">
        <f t="shared" si="47"/>
        <v>0</v>
      </c>
      <c r="O68" s="11"/>
      <c r="P68" s="7">
        <v>20841.04</v>
      </c>
      <c r="Q68" s="2"/>
      <c r="R68" s="6">
        <f t="shared" si="48"/>
        <v>2.2166404574066722E-2</v>
      </c>
      <c r="S68" s="2"/>
      <c r="T68" s="7">
        <v>650.62</v>
      </c>
      <c r="U68" s="2"/>
      <c r="V68" s="6">
        <f t="shared" si="49"/>
        <v>2.8156752730376694E-3</v>
      </c>
      <c r="W68" s="2"/>
      <c r="X68" s="7">
        <f t="shared" si="50"/>
        <v>20190.420000000002</v>
      </c>
      <c r="Y68" s="2"/>
      <c r="Z68" s="6">
        <f t="shared" si="51"/>
        <v>31.03258430420215</v>
      </c>
    </row>
    <row r="69" spans="1:26" s="24" customFormat="1" hidden="1" outlineLevel="2" x14ac:dyDescent="0.25">
      <c r="A69" s="28"/>
      <c r="B69" s="11" t="str">
        <f>CONCATENATE("          ", "6247", " - ", "STORE SUPPLIES")</f>
        <v xml:space="preserve">          6247 - STORE SUPPLIES</v>
      </c>
      <c r="C69" s="11"/>
      <c r="D69" s="7">
        <v>127.34</v>
      </c>
      <c r="E69" s="2"/>
      <c r="F69" s="6">
        <f t="shared" si="44"/>
        <v>1.8553696384713037E-4</v>
      </c>
      <c r="G69" s="2"/>
      <c r="H69" s="7"/>
      <c r="I69" s="2"/>
      <c r="J69" s="6">
        <f t="shared" si="45"/>
        <v>0</v>
      </c>
      <c r="K69" s="2"/>
      <c r="L69" s="7">
        <f t="shared" si="46"/>
        <v>127.34</v>
      </c>
      <c r="M69" s="2"/>
      <c r="N69" s="6">
        <f t="shared" si="47"/>
        <v>0</v>
      </c>
      <c r="O69" s="11"/>
      <c r="P69" s="7">
        <v>127.34</v>
      </c>
      <c r="Q69" s="2"/>
      <c r="R69" s="6">
        <f t="shared" si="48"/>
        <v>1.3543805676020278E-4</v>
      </c>
      <c r="S69" s="2"/>
      <c r="T69" s="7"/>
      <c r="U69" s="2"/>
      <c r="V69" s="6">
        <f t="shared" si="49"/>
        <v>0</v>
      </c>
      <c r="W69" s="2"/>
      <c r="X69" s="7">
        <f t="shared" si="50"/>
        <v>127.34</v>
      </c>
      <c r="Y69" s="2"/>
      <c r="Z69" s="6">
        <f t="shared" si="51"/>
        <v>0</v>
      </c>
    </row>
    <row r="70" spans="1:26" s="24" customFormat="1" hidden="1" outlineLevel="2" x14ac:dyDescent="0.25">
      <c r="A70" s="28"/>
      <c r="B70" s="11" t="str">
        <f>CONCATENATE("          ", "6248", " - ", "UNIFORMS")</f>
        <v xml:space="preserve">          6248 - UNIFORMS</v>
      </c>
      <c r="C70" s="11"/>
      <c r="D70" s="7"/>
      <c r="E70" s="2"/>
      <c r="F70" s="6">
        <f t="shared" si="44"/>
        <v>0</v>
      </c>
      <c r="G70" s="2"/>
      <c r="H70" s="7">
        <v>303.7</v>
      </c>
      <c r="I70" s="2"/>
      <c r="J70" s="6">
        <f t="shared" si="45"/>
        <v>1.6469666962401219E-3</v>
      </c>
      <c r="K70" s="2"/>
      <c r="L70" s="7">
        <f t="shared" si="46"/>
        <v>-303.7</v>
      </c>
      <c r="M70" s="2"/>
      <c r="N70" s="6">
        <f t="shared" si="47"/>
        <v>-1</v>
      </c>
      <c r="O70" s="11"/>
      <c r="P70" s="7"/>
      <c r="Q70" s="2"/>
      <c r="R70" s="6">
        <f t="shared" si="48"/>
        <v>0</v>
      </c>
      <c r="S70" s="2"/>
      <c r="T70" s="7">
        <v>3814.68</v>
      </c>
      <c r="U70" s="2"/>
      <c r="V70" s="6">
        <f t="shared" si="49"/>
        <v>1.6508714995775317E-2</v>
      </c>
      <c r="W70" s="2"/>
      <c r="X70" s="7">
        <f t="shared" si="50"/>
        <v>-3814.68</v>
      </c>
      <c r="Y70" s="2"/>
      <c r="Z70" s="6">
        <f t="shared" si="51"/>
        <v>-1</v>
      </c>
    </row>
    <row r="71" spans="1:26" s="27" customFormat="1" outlineLevel="1" collapsed="1" x14ac:dyDescent="0.25">
      <c r="A71" s="29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SUM(OSRRefD22_13x_0)</f>
        <v>309</v>
      </c>
      <c r="E71" s="1"/>
      <c r="F71" s="5">
        <f t="shared" ref="F71:F74" si="52">IF(D$12=0,0,D71/D$12)</f>
        <v>4.5021926989762277E-4</v>
      </c>
      <c r="G71" s="1"/>
      <c r="H71" s="1">
        <f>SUM(OSRRefH22_13x_0)</f>
        <v>410</v>
      </c>
      <c r="I71" s="1"/>
      <c r="J71" s="5">
        <f t="shared" ref="J71:J74" si="53">IF(H$12=0,0,H71/H$12)</f>
        <v>2.2234321549504444E-3</v>
      </c>
      <c r="K71" s="1"/>
      <c r="L71" s="1">
        <f t="shared" ref="L71:L74" si="54">+D71-H71</f>
        <v>-101</v>
      </c>
      <c r="M71" s="1"/>
      <c r="N71" s="5">
        <f t="shared" ref="N71:N74" si="55">IF(H71=0,0,L71/H71)</f>
        <v>-0.24634146341463414</v>
      </c>
      <c r="O71" s="14"/>
      <c r="P71" s="1">
        <f>SUM(OSRRefP22_13x_0)</f>
        <v>835</v>
      </c>
      <c r="Q71" s="1"/>
      <c r="R71" s="5">
        <f t="shared" ref="R71:R74" si="56">IF(P$12=0,0,P71/P$12)</f>
        <v>8.88100969018135E-4</v>
      </c>
      <c r="S71" s="1"/>
      <c r="T71" s="1">
        <f>SUM(OSRRefT22_13x_0)</f>
        <v>928</v>
      </c>
      <c r="U71" s="1"/>
      <c r="V71" s="5">
        <f t="shared" ref="V71:V74" si="57">IF(T$12=0,0,T71/T$12)</f>
        <v>4.0160871989470921E-3</v>
      </c>
      <c r="W71" s="1"/>
      <c r="X71" s="1">
        <f t="shared" ref="X71:X74" si="58">+P71-T71</f>
        <v>-93</v>
      </c>
      <c r="Y71" s="1"/>
      <c r="Z71" s="5">
        <f t="shared" ref="Z71:Z74" si="59">IF(T71=0,0,X71/T71)</f>
        <v>-0.10021551724137931</v>
      </c>
    </row>
    <row r="72" spans="1:26" s="24" customFormat="1" hidden="1" outlineLevel="2" x14ac:dyDescent="0.25">
      <c r="A72" s="28"/>
      <c r="B72" s="11" t="str">
        <f>CONCATENATE("          ", "6309", " - ", "TELEPHONE")</f>
        <v xml:space="preserve">          6309 - TELEPHONE</v>
      </c>
      <c r="C72" s="11"/>
      <c r="D72" s="7">
        <v>309</v>
      </c>
      <c r="E72" s="2"/>
      <c r="F72" s="6">
        <f t="shared" si="52"/>
        <v>4.5021926989762277E-4</v>
      </c>
      <c r="G72" s="2"/>
      <c r="H72" s="7">
        <v>410</v>
      </c>
      <c r="I72" s="2"/>
      <c r="J72" s="6">
        <f t="shared" si="53"/>
        <v>2.2234321549504444E-3</v>
      </c>
      <c r="K72" s="2"/>
      <c r="L72" s="7">
        <f t="shared" si="54"/>
        <v>-101</v>
      </c>
      <c r="M72" s="2"/>
      <c r="N72" s="6">
        <f t="shared" si="55"/>
        <v>-0.24634146341463414</v>
      </c>
      <c r="O72" s="11"/>
      <c r="P72" s="7">
        <v>835</v>
      </c>
      <c r="Q72" s="2"/>
      <c r="R72" s="6">
        <f t="shared" si="56"/>
        <v>8.88100969018135E-4</v>
      </c>
      <c r="S72" s="2"/>
      <c r="T72" s="7">
        <v>928</v>
      </c>
      <c r="U72" s="2"/>
      <c r="V72" s="6">
        <f t="shared" si="57"/>
        <v>4.0160871989470921E-3</v>
      </c>
      <c r="W72" s="2"/>
      <c r="X72" s="7">
        <f t="shared" si="58"/>
        <v>-93</v>
      </c>
      <c r="Y72" s="2"/>
      <c r="Z72" s="6">
        <f t="shared" si="59"/>
        <v>-0.10021551724137931</v>
      </c>
    </row>
    <row r="73" spans="1:26" s="27" customFormat="1" outlineLevel="1" collapsed="1" x14ac:dyDescent="0.25">
      <c r="A73" s="29"/>
      <c r="B73" s="14" t="str">
        <f>CONCATENATE("     ","Training                                          ")</f>
        <v xml:space="preserve">     Training                                          </v>
      </c>
      <c r="C73" s="14"/>
      <c r="D73" s="1">
        <f>SUM(OSRRefD22_14x_0)</f>
        <v>0</v>
      </c>
      <c r="E73" s="1"/>
      <c r="F73" s="5">
        <f t="shared" si="52"/>
        <v>0</v>
      </c>
      <c r="G73" s="1"/>
      <c r="H73" s="1">
        <f>SUM(OSRRefH22_14x_0)</f>
        <v>0</v>
      </c>
      <c r="I73" s="1"/>
      <c r="J73" s="5">
        <f t="shared" si="53"/>
        <v>0</v>
      </c>
      <c r="K73" s="1"/>
      <c r="L73" s="1">
        <f t="shared" si="54"/>
        <v>0</v>
      </c>
      <c r="M73" s="1"/>
      <c r="N73" s="5">
        <f t="shared" si="55"/>
        <v>0</v>
      </c>
      <c r="O73" s="14"/>
      <c r="P73" s="1">
        <f>SUM(OSRRefP22_14x_0)</f>
        <v>0</v>
      </c>
      <c r="Q73" s="1"/>
      <c r="R73" s="5">
        <f t="shared" si="56"/>
        <v>0</v>
      </c>
      <c r="S73" s="1"/>
      <c r="T73" s="1">
        <f>SUM(OSRRefT22_14x_0)</f>
        <v>350</v>
      </c>
      <c r="U73" s="1"/>
      <c r="V73" s="5">
        <f t="shared" si="57"/>
        <v>1.5146880599477179E-3</v>
      </c>
      <c r="W73" s="1"/>
      <c r="X73" s="1">
        <f t="shared" si="58"/>
        <v>-350</v>
      </c>
      <c r="Y73" s="1"/>
      <c r="Z73" s="5">
        <f t="shared" si="59"/>
        <v>-1</v>
      </c>
    </row>
    <row r="74" spans="1:26" s="24" customFormat="1" hidden="1" outlineLevel="2" x14ac:dyDescent="0.25">
      <c r="A74" s="28"/>
      <c r="B74" s="11" t="str">
        <f>CONCATENATE("          ", "6376", " - ", "TRAINING")</f>
        <v xml:space="preserve">          6376 - TRAINING</v>
      </c>
      <c r="C74" s="11"/>
      <c r="D74" s="7"/>
      <c r="E74" s="2"/>
      <c r="F74" s="6">
        <f t="shared" si="52"/>
        <v>0</v>
      </c>
      <c r="G74" s="2"/>
      <c r="H74" s="7"/>
      <c r="I74" s="2"/>
      <c r="J74" s="6">
        <f t="shared" si="53"/>
        <v>0</v>
      </c>
      <c r="K74" s="2"/>
      <c r="L74" s="7">
        <f t="shared" si="54"/>
        <v>0</v>
      </c>
      <c r="M74" s="2"/>
      <c r="N74" s="6">
        <f t="shared" si="55"/>
        <v>0</v>
      </c>
      <c r="O74" s="11"/>
      <c r="P74" s="7"/>
      <c r="Q74" s="2"/>
      <c r="R74" s="6">
        <f t="shared" si="56"/>
        <v>0</v>
      </c>
      <c r="S74" s="2"/>
      <c r="T74" s="7">
        <v>350</v>
      </c>
      <c r="U74" s="2"/>
      <c r="V74" s="6">
        <f t="shared" si="57"/>
        <v>1.5146880599477179E-3</v>
      </c>
      <c r="W74" s="2"/>
      <c r="X74" s="7">
        <f t="shared" si="58"/>
        <v>-350</v>
      </c>
      <c r="Y74" s="2"/>
      <c r="Z74" s="6">
        <f t="shared" si="59"/>
        <v>-1</v>
      </c>
    </row>
    <row r="75" spans="1:26" s="54" customFormat="1" x14ac:dyDescent="0.25">
      <c r="A75" s="37"/>
      <c r="B75" s="37"/>
      <c r="C75" s="37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6" t="s">
        <v>292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5" t="s">
        <v>276</v>
      </c>
      <c r="C78" s="25"/>
      <c r="D78" s="21">
        <f>+D21-D23+D76</f>
        <v>321490.08000000007</v>
      </c>
      <c r="E78" s="13"/>
      <c r="F78" s="22">
        <f>IF(D$12=0,0,D78/D$12)</f>
        <v>0.46841756989297206</v>
      </c>
      <c r="G78" s="13"/>
      <c r="H78" s="21">
        <f>+H21-H23+H76</f>
        <v>6713.8799999999756</v>
      </c>
      <c r="I78" s="13"/>
      <c r="J78" s="22">
        <f>IF(H$12=0,0,H78/H$12)</f>
        <v>3.6409406527996672E-2</v>
      </c>
      <c r="K78" s="16"/>
      <c r="L78" s="21">
        <f>+D78-H78</f>
        <v>314776.20000000007</v>
      </c>
      <c r="M78" s="16"/>
      <c r="N78" s="22">
        <f>IF(H78=0,0,L78/H78)</f>
        <v>46.884394716617102</v>
      </c>
      <c r="O78" s="26"/>
      <c r="P78" s="21">
        <f>+P21-P23+P76</f>
        <v>245385.97000000003</v>
      </c>
      <c r="Q78" s="13"/>
      <c r="R78" s="22">
        <f>IF(P$12=0,0,P78/P$12)</f>
        <v>0.26099103921012579</v>
      </c>
      <c r="S78" s="13"/>
      <c r="T78" s="21">
        <f>+T21-T23+T76</f>
        <v>-138705.66999999987</v>
      </c>
      <c r="U78" s="13"/>
      <c r="V78" s="22">
        <f>IF(T$12=0,0,T78/T$12)</f>
        <v>-0.60027377770299484</v>
      </c>
      <c r="W78" s="16"/>
      <c r="X78" s="21">
        <f>+P78-T78</f>
        <v>384091.6399999999</v>
      </c>
      <c r="Y78" s="16"/>
      <c r="Z78" s="22">
        <f>IF(T78=0,0,X78/T78)</f>
        <v>-2.7691127550878076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1"/>
      <c r="B80" s="10" t="s">
        <v>127</v>
      </c>
      <c r="C80" s="10"/>
      <c r="D80" s="4">
        <v>78437.41</v>
      </c>
      <c r="E80" s="4"/>
      <c r="F80" s="12">
        <f>IF(D$12=0,0,D80/D$12)</f>
        <v>0.11428489793805986</v>
      </c>
      <c r="G80" s="4"/>
      <c r="H80" s="4">
        <v>34927.22</v>
      </c>
      <c r="I80" s="4"/>
      <c r="J80" s="12">
        <f>IF(H$12=0,0,H80/H$12)</f>
        <v>0.18941049763665432</v>
      </c>
      <c r="K80" s="4"/>
      <c r="L80" s="4">
        <f>+D80-H80</f>
        <v>43510.19</v>
      </c>
      <c r="M80" s="4"/>
      <c r="N80" s="12">
        <f>IF(H80=0,0,L80/H80)</f>
        <v>1.245738710381187</v>
      </c>
      <c r="O80" s="10"/>
      <c r="P80" s="4">
        <v>116374.88</v>
      </c>
      <c r="Q80" s="4"/>
      <c r="R80" s="12">
        <f>IF(P$12=0,0,P80/P$12)</f>
        <v>0.12377562119445411</v>
      </c>
      <c r="S80" s="4"/>
      <c r="T80" s="4">
        <v>42807</v>
      </c>
      <c r="U80" s="4"/>
      <c r="V80" s="12">
        <f>IF(T$12=0,0,T80/T$12)</f>
        <v>0.18525500509194848</v>
      </c>
      <c r="W80" s="4"/>
      <c r="X80" s="4">
        <f>+P80-T80</f>
        <v>73567.88</v>
      </c>
      <c r="Y80" s="4"/>
      <c r="Z80" s="12">
        <f>IF(T80=0,0,X80/T80)</f>
        <v>1.7185946223748454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125</v>
      </c>
      <c r="C82" s="25"/>
      <c r="D82" s="33">
        <f>+D78-D80</f>
        <v>243052.67000000007</v>
      </c>
      <c r="E82" s="13"/>
      <c r="F82" s="35">
        <f>IF(D$12=0,0,D82/D$12)</f>
        <v>0.35413267195491221</v>
      </c>
      <c r="G82" s="13"/>
      <c r="H82" s="33">
        <f>+H78-H80</f>
        <v>-28213.340000000026</v>
      </c>
      <c r="I82" s="13"/>
      <c r="J82" s="35">
        <f>IF(H$12=0,0,H82/H$12)</f>
        <v>-0.15300109110865764</v>
      </c>
      <c r="K82" s="16"/>
      <c r="L82" s="33">
        <f>D82-H82</f>
        <v>271266.01000000013</v>
      </c>
      <c r="M82" s="16"/>
      <c r="N82" s="35">
        <f>IF(H82=0,0,L82/H82)</f>
        <v>-9.6148137724920151</v>
      </c>
      <c r="O82" s="26"/>
      <c r="P82" s="33">
        <f>+P78-P80</f>
        <v>129011.09000000003</v>
      </c>
      <c r="Q82" s="13"/>
      <c r="R82" s="35">
        <f>IF(P$12=0,0,P82/P$12)</f>
        <v>0.13721541801567166</v>
      </c>
      <c r="S82" s="13"/>
      <c r="T82" s="33">
        <f>+T78-T80</f>
        <v>-181512.66999999987</v>
      </c>
      <c r="U82" s="13"/>
      <c r="V82" s="35">
        <f>IF(T$12=0,0,T82/T$12)</f>
        <v>-0.78552878279494331</v>
      </c>
      <c r="W82" s="16"/>
      <c r="X82" s="33">
        <f>P82-T82</f>
        <v>310523.75999999989</v>
      </c>
      <c r="Y82" s="16"/>
      <c r="Z82" s="35">
        <f>IF(T82=0,0,X82/T82)</f>
        <v>-1.7107552877713723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5" t="s">
        <v>293</v>
      </c>
      <c r="C85" s="25"/>
      <c r="D85" s="31">
        <f>SUM(D82:D84)</f>
        <v>243052.67000000007</v>
      </c>
      <c r="E85" s="13"/>
      <c r="F85" s="32">
        <f>IF(D$12=0,0,D85/D$12)</f>
        <v>0.35413267195491221</v>
      </c>
      <c r="G85" s="13"/>
      <c r="H85" s="31">
        <f>SUM(H82:H84)</f>
        <v>-28213.340000000026</v>
      </c>
      <c r="I85" s="13"/>
      <c r="J85" s="32">
        <f>IF(H$12=0,0,H85/H$12)</f>
        <v>-0.15300109110865764</v>
      </c>
      <c r="K85" s="16"/>
      <c r="L85" s="31">
        <f>+D85-H85</f>
        <v>271266.01000000013</v>
      </c>
      <c r="M85" s="16"/>
      <c r="N85" s="32">
        <f>IF(H85=0,0,L85/H85)</f>
        <v>-9.6148137724920151</v>
      </c>
      <c r="O85" s="26"/>
      <c r="P85" s="31">
        <f>SUM(P82:P84)</f>
        <v>129011.09000000003</v>
      </c>
      <c r="Q85" s="13"/>
      <c r="R85" s="32">
        <f>IF(P$12=0,0,P85/P$12)</f>
        <v>0.13721541801567166</v>
      </c>
      <c r="S85" s="13"/>
      <c r="T85" s="31">
        <f>SUM(T82:T84)</f>
        <v>-181512.66999999987</v>
      </c>
      <c r="U85" s="13"/>
      <c r="V85" s="32">
        <f>IF(T$12=0,0,T85/T$12)</f>
        <v>-0.78552878279494331</v>
      </c>
      <c r="W85" s="16"/>
      <c r="X85" s="31">
        <f>+P85-T85</f>
        <v>310523.75999999989</v>
      </c>
      <c r="Y85" s="16"/>
      <c r="Z85" s="32">
        <f>IF(T85=0,0,X85/T85)</f>
        <v>-1.7107552877713723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8">
        <v>44481.985668518515</v>
      </c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3" t="s">
        <v>56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2"/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","450", " - ", "Beachside Dining Hall")</f>
        <v>Department 450 - Beachside Dining Hall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162218.18999999997</v>
      </c>
      <c r="E12" s="4"/>
      <c r="F12" s="12"/>
      <c r="G12" s="4"/>
      <c r="H12" s="4">
        <f>SUM(OSRRefH13x_0)</f>
        <v>12545.13</v>
      </c>
      <c r="I12" s="4"/>
      <c r="J12" s="12"/>
      <c r="K12" s="4"/>
      <c r="L12" s="4">
        <f t="shared" ref="L12:L15" si="0">+D12-H12</f>
        <v>149673.05999999997</v>
      </c>
      <c r="M12" s="4"/>
      <c r="N12" s="12">
        <f t="shared" ref="N12:N15" si="1">IF(H12=0,0,L12/H12)</f>
        <v>11.930769948179092</v>
      </c>
      <c r="O12" s="10"/>
      <c r="P12" s="4">
        <f>SUM(OSRRefP13x_0)</f>
        <v>204110.96999999997</v>
      </c>
      <c r="Q12" s="4"/>
      <c r="R12" s="12"/>
      <c r="S12" s="4"/>
      <c r="T12" s="4">
        <f>SUM(OSRRefT13x_0)</f>
        <v>12545.13</v>
      </c>
      <c r="U12" s="4"/>
      <c r="V12" s="12"/>
      <c r="W12" s="4"/>
      <c r="X12" s="4">
        <f t="shared" ref="X12:X15" si="2">+P12-T12</f>
        <v>191565.83999999997</v>
      </c>
      <c r="Y12" s="4"/>
      <c r="Z12" s="12">
        <f t="shared" ref="Z12:Z15" si="3">IF(T12=0,0,X12/T12)</f>
        <v>15.270135901341794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--62.83</f>
        <v>62.83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62.83</v>
      </c>
      <c r="M13" s="2"/>
      <c r="N13" s="19">
        <f t="shared" si="1"/>
        <v>0</v>
      </c>
      <c r="O13" s="11"/>
      <c r="P13" s="2">
        <f>--62.83</f>
        <v>62.83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62.83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--161127.28</f>
        <v>161127.28</v>
      </c>
      <c r="E14" s="2"/>
      <c r="F14" s="19"/>
      <c r="G14" s="2"/>
      <c r="H14" s="2">
        <f>--12545.13</f>
        <v>12545.13</v>
      </c>
      <c r="I14" s="2"/>
      <c r="J14" s="19"/>
      <c r="K14" s="2"/>
      <c r="L14" s="2">
        <f t="shared" si="0"/>
        <v>148582.15</v>
      </c>
      <c r="M14" s="2"/>
      <c r="N14" s="19">
        <f t="shared" si="1"/>
        <v>11.843811104388715</v>
      </c>
      <c r="O14" s="11"/>
      <c r="P14" s="2">
        <f>--202737.86</f>
        <v>202737.86</v>
      </c>
      <c r="Q14" s="2"/>
      <c r="R14" s="19"/>
      <c r="S14" s="2"/>
      <c r="T14" s="2">
        <f>--12545.13</f>
        <v>12545.13</v>
      </c>
      <c r="U14" s="2"/>
      <c r="V14" s="19"/>
      <c r="W14" s="2"/>
      <c r="X14" s="2">
        <f t="shared" si="2"/>
        <v>190192.72999999998</v>
      </c>
      <c r="Y14" s="2"/>
      <c r="Z14" s="19">
        <f t="shared" si="3"/>
        <v>15.160682272722562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--1028.08</f>
        <v>1028.08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1028.08</v>
      </c>
      <c r="M15" s="2"/>
      <c r="N15" s="19">
        <f t="shared" si="1"/>
        <v>0</v>
      </c>
      <c r="O15" s="11"/>
      <c r="P15" s="2">
        <f>--1310.28</f>
        <v>1310.28</v>
      </c>
      <c r="Q15" s="2"/>
      <c r="R15" s="19"/>
      <c r="S15" s="2"/>
      <c r="T15" s="2">
        <f>0</f>
        <v>0</v>
      </c>
      <c r="U15" s="2"/>
      <c r="V15" s="19"/>
      <c r="W15" s="2"/>
      <c r="X15" s="2">
        <f t="shared" si="2"/>
        <v>1310.28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256</v>
      </c>
      <c r="C17" s="10"/>
      <c r="D17" s="4">
        <f>SUM(OSRRefD16x_0)</f>
        <v>55730.09</v>
      </c>
      <c r="E17" s="4"/>
      <c r="F17" s="12">
        <f t="shared" ref="F17:F19" si="4">IF(D$12=0,0,D17/D$12)</f>
        <v>0.34355019002492881</v>
      </c>
      <c r="G17" s="4"/>
      <c r="H17" s="4">
        <f>SUM(OSRRefH16x_0)</f>
        <v>0</v>
      </c>
      <c r="I17" s="4"/>
      <c r="J17" s="12">
        <f t="shared" ref="J17:J19" si="5">IF(H$12=0,0,H17/H$12)</f>
        <v>0</v>
      </c>
      <c r="K17" s="4"/>
      <c r="L17" s="4">
        <f t="shared" ref="L17:L19" si="6">+D17-H17</f>
        <v>55730.09</v>
      </c>
      <c r="M17" s="4"/>
      <c r="N17" s="12">
        <f t="shared" ref="N17:N19" si="7">IF(H17=0,0,L17/H17)</f>
        <v>0</v>
      </c>
      <c r="O17" s="10"/>
      <c r="P17" s="4">
        <f>SUM(OSRRefP16x_0)</f>
        <v>90056.54</v>
      </c>
      <c r="Q17" s="4"/>
      <c r="R17" s="12">
        <f t="shared" ref="R17:R19" si="8">IF(P$12=0,0,P17/P$12)</f>
        <v>0.44121362021845278</v>
      </c>
      <c r="S17" s="4"/>
      <c r="T17" s="4">
        <f>SUM(OSRRefT16x_0)</f>
        <v>0</v>
      </c>
      <c r="U17" s="4"/>
      <c r="V17" s="12">
        <f t="shared" ref="V17:V19" si="9">IF(T$12=0,0,T17/T$12)</f>
        <v>0</v>
      </c>
      <c r="W17" s="4"/>
      <c r="X17" s="4">
        <f t="shared" ref="X17:X19" si="10">+P17-T17</f>
        <v>90056.54</v>
      </c>
      <c r="Y17" s="4"/>
      <c r="Z17" s="12">
        <f t="shared" ref="Z17:Z19" si="11">IF(T17=0,0,X17/T17)</f>
        <v>0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63697.09</v>
      </c>
      <c r="E18" s="2"/>
      <c r="F18" s="19">
        <f t="shared" si="4"/>
        <v>0.3926630546179809</v>
      </c>
      <c r="G18" s="2"/>
      <c r="H18" s="2"/>
      <c r="I18" s="2"/>
      <c r="J18" s="19">
        <f t="shared" si="5"/>
        <v>0</v>
      </c>
      <c r="K18" s="2"/>
      <c r="L18" s="2">
        <f t="shared" si="6"/>
        <v>63697.09</v>
      </c>
      <c r="M18" s="2"/>
      <c r="N18" s="19">
        <f t="shared" si="7"/>
        <v>0</v>
      </c>
      <c r="O18" s="11"/>
      <c r="P18" s="2">
        <v>111276.54</v>
      </c>
      <c r="Q18" s="2"/>
      <c r="R18" s="19">
        <f t="shared" si="8"/>
        <v>0.54517667521740754</v>
      </c>
      <c r="S18" s="2"/>
      <c r="T18" s="2"/>
      <c r="U18" s="2"/>
      <c r="V18" s="19">
        <f t="shared" si="9"/>
        <v>0</v>
      </c>
      <c r="W18" s="2"/>
      <c r="X18" s="2">
        <f t="shared" si="10"/>
        <v>111276.54</v>
      </c>
      <c r="Y18" s="2"/>
      <c r="Z18" s="19">
        <f t="shared" si="11"/>
        <v>0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-7967</v>
      </c>
      <c r="E19" s="2"/>
      <c r="F19" s="19">
        <f t="shared" si="4"/>
        <v>-4.911286459305212E-2</v>
      </c>
      <c r="G19" s="2"/>
      <c r="H19" s="2"/>
      <c r="I19" s="2"/>
      <c r="J19" s="19">
        <f t="shared" si="5"/>
        <v>0</v>
      </c>
      <c r="K19" s="2"/>
      <c r="L19" s="2">
        <f t="shared" si="6"/>
        <v>-7967</v>
      </c>
      <c r="M19" s="2"/>
      <c r="N19" s="19">
        <f t="shared" si="7"/>
        <v>0</v>
      </c>
      <c r="O19" s="11"/>
      <c r="P19" s="2">
        <v>-21220</v>
      </c>
      <c r="Q19" s="2"/>
      <c r="R19" s="19">
        <f t="shared" si="8"/>
        <v>-0.10396305499895475</v>
      </c>
      <c r="S19" s="2"/>
      <c r="T19" s="2"/>
      <c r="U19" s="2"/>
      <c r="V19" s="19">
        <f t="shared" si="9"/>
        <v>0</v>
      </c>
      <c r="W19" s="2"/>
      <c r="X19" s="2">
        <f t="shared" si="10"/>
        <v>-21220</v>
      </c>
      <c r="Y19" s="2"/>
      <c r="Z19" s="19">
        <f t="shared" si="11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107</v>
      </c>
      <c r="C21" s="25"/>
      <c r="D21" s="21">
        <f>D12-D17</f>
        <v>106488.09999999998</v>
      </c>
      <c r="E21" s="13"/>
      <c r="F21" s="22">
        <f>IF(D$12=0,0,D21/D$12)</f>
        <v>0.65644980997507119</v>
      </c>
      <c r="G21" s="13"/>
      <c r="H21" s="21">
        <f>H12-H17</f>
        <v>12545.13</v>
      </c>
      <c r="I21" s="13"/>
      <c r="J21" s="22">
        <f>IF(H$12=0,0,H21/H$12)</f>
        <v>1</v>
      </c>
      <c r="K21" s="16"/>
      <c r="L21" s="21">
        <f>+D21-H21</f>
        <v>93942.969999999972</v>
      </c>
      <c r="M21" s="16"/>
      <c r="N21" s="22">
        <f>IF(H21=0,0,L21/H21)</f>
        <v>7.488401475313526</v>
      </c>
      <c r="O21" s="26"/>
      <c r="P21" s="21">
        <f>P12-P17</f>
        <v>114054.42999999998</v>
      </c>
      <c r="Q21" s="13"/>
      <c r="R21" s="22">
        <f>IF(P$12=0,0,P21/P$12)</f>
        <v>0.55878637978154722</v>
      </c>
      <c r="S21" s="13"/>
      <c r="T21" s="21">
        <f>T12-T17</f>
        <v>12545.13</v>
      </c>
      <c r="U21" s="13"/>
      <c r="V21" s="22">
        <f>IF(T$12=0,0,T21/T$12)</f>
        <v>1</v>
      </c>
      <c r="W21" s="16"/>
      <c r="X21" s="21">
        <f>+P21-T21</f>
        <v>101509.29999999997</v>
      </c>
      <c r="Y21" s="16"/>
      <c r="Z21" s="22">
        <f>IF(T21=0,0,X21/T21)</f>
        <v>8.0915303388645619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294</v>
      </c>
      <c r="C23" s="10"/>
      <c r="D23" s="20">
        <f>SUM(OSRRefD22x_0)</f>
        <v>122556.40999999999</v>
      </c>
      <c r="E23" s="20"/>
      <c r="F23" s="30">
        <f t="shared" ref="F23:F33" si="12">IF(D$12=0,0,D23/D$12)</f>
        <v>0.75550349809722328</v>
      </c>
      <c r="G23" s="20"/>
      <c r="H23" s="20">
        <f>SUM(OSRRefH22x_0)</f>
        <v>41024.689999999995</v>
      </c>
      <c r="I23" s="20"/>
      <c r="J23" s="30">
        <f t="shared" ref="J23:J33" si="13">IF(H$12=0,0,H23/H$12)</f>
        <v>3.2701685833466851</v>
      </c>
      <c r="K23" s="4"/>
      <c r="L23" s="20">
        <f t="shared" ref="L23:L33" si="14">+D23-H23</f>
        <v>81531.72</v>
      </c>
      <c r="M23" s="4"/>
      <c r="N23" s="30">
        <f t="shared" ref="N23:N33" si="15">IF(H23=0,0,L23/H23)</f>
        <v>1.9873817449930764</v>
      </c>
      <c r="O23" s="10"/>
      <c r="P23" s="20">
        <f>SUM(OSRRefP22x_0)</f>
        <v>235403.58999999997</v>
      </c>
      <c r="Q23" s="20"/>
      <c r="R23" s="30">
        <f t="shared" ref="R23:R33" si="16">IF(P$12=0,0,P23/P$12)</f>
        <v>1.1533117989689627</v>
      </c>
      <c r="S23" s="20"/>
      <c r="T23" s="20">
        <f>SUM(OSRRefT22x_0)</f>
        <v>119646.61</v>
      </c>
      <c r="U23" s="20"/>
      <c r="V23" s="30">
        <f t="shared" ref="V23:V33" si="17">IF(T$12=0,0,T23/T$12)</f>
        <v>9.5372953488724317</v>
      </c>
      <c r="W23" s="4"/>
      <c r="X23" s="20">
        <f t="shared" ref="X23:X33" si="18">+P23-T23</f>
        <v>115756.97999999997</v>
      </c>
      <c r="Y23" s="4"/>
      <c r="Z23" s="30">
        <f t="shared" ref="Z23:Z33" si="19">IF(T23=0,0,X23/T23)</f>
        <v>0.96749067942668798</v>
      </c>
    </row>
    <row r="24" spans="1:26" s="27" customFormat="1" outlineLevel="1" collapsed="1" x14ac:dyDescent="0.25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22817.989999999998</v>
      </c>
      <c r="E24" s="1"/>
      <c r="F24" s="5">
        <f t="shared" si="12"/>
        <v>0.14066233879196902</v>
      </c>
      <c r="G24" s="1"/>
      <c r="H24" s="1">
        <f>SUM(OSRRefH22_0x_0)</f>
        <v>19309.27</v>
      </c>
      <c r="I24" s="1"/>
      <c r="J24" s="5">
        <f t="shared" si="13"/>
        <v>1.5391845281794609</v>
      </c>
      <c r="K24" s="1"/>
      <c r="L24" s="1">
        <f t="shared" si="14"/>
        <v>3508.7199999999975</v>
      </c>
      <c r="M24" s="1"/>
      <c r="N24" s="5">
        <f t="shared" si="15"/>
        <v>0.18171168563078757</v>
      </c>
      <c r="O24" s="14"/>
      <c r="P24" s="1">
        <f>SUM(OSRRefP22_0x_0)</f>
        <v>61720.529999999992</v>
      </c>
      <c r="Q24" s="1"/>
      <c r="R24" s="5">
        <f t="shared" si="16"/>
        <v>0.30238712794319678</v>
      </c>
      <c r="S24" s="1"/>
      <c r="T24" s="1">
        <f>SUM(OSRRefT22_0x_0)</f>
        <v>57443.719999999994</v>
      </c>
      <c r="U24" s="1"/>
      <c r="V24" s="5">
        <f t="shared" si="17"/>
        <v>4.5789657022286736</v>
      </c>
      <c r="W24" s="1"/>
      <c r="X24" s="1">
        <f t="shared" si="18"/>
        <v>4276.8099999999977</v>
      </c>
      <c r="Y24" s="1"/>
      <c r="Z24" s="5">
        <f t="shared" si="19"/>
        <v>7.4452176843700202E-2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7">
        <v>4154.1000000000004</v>
      </c>
      <c r="E25" s="2"/>
      <c r="F25" s="6">
        <f t="shared" si="12"/>
        <v>2.5608102272624302E-2</v>
      </c>
      <c r="G25" s="2"/>
      <c r="H25" s="7">
        <v>1667.58</v>
      </c>
      <c r="I25" s="2"/>
      <c r="J25" s="6">
        <f t="shared" si="13"/>
        <v>0.13292648222856202</v>
      </c>
      <c r="K25" s="2"/>
      <c r="L25" s="7">
        <f t="shared" si="14"/>
        <v>2486.5200000000004</v>
      </c>
      <c r="M25" s="2"/>
      <c r="N25" s="6">
        <f t="shared" si="15"/>
        <v>1.4910948800057571</v>
      </c>
      <c r="O25" s="11"/>
      <c r="P25" s="7">
        <v>7719.14</v>
      </c>
      <c r="Q25" s="2"/>
      <c r="R25" s="6">
        <f t="shared" si="16"/>
        <v>3.7818349498804506E-2</v>
      </c>
      <c r="S25" s="2"/>
      <c r="T25" s="7">
        <v>4592.76</v>
      </c>
      <c r="U25" s="2"/>
      <c r="V25" s="6">
        <f t="shared" si="17"/>
        <v>0.36609903604028021</v>
      </c>
      <c r="W25" s="2"/>
      <c r="X25" s="7">
        <f t="shared" si="18"/>
        <v>3126.38</v>
      </c>
      <c r="Y25" s="2"/>
      <c r="Z25" s="6">
        <f t="shared" si="19"/>
        <v>0.68071921894459975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7">
        <v>2139</v>
      </c>
      <c r="E26" s="2"/>
      <c r="F26" s="6">
        <f t="shared" si="12"/>
        <v>1.3185944190352515E-2</v>
      </c>
      <c r="G26" s="2"/>
      <c r="H26" s="7">
        <v>913.35</v>
      </c>
      <c r="I26" s="2"/>
      <c r="J26" s="6">
        <f t="shared" si="13"/>
        <v>7.280514430699403E-2</v>
      </c>
      <c r="K26" s="2"/>
      <c r="L26" s="7">
        <f t="shared" si="14"/>
        <v>1225.6500000000001</v>
      </c>
      <c r="M26" s="2"/>
      <c r="N26" s="6">
        <f t="shared" si="15"/>
        <v>1.3419280670060767</v>
      </c>
      <c r="O26" s="11"/>
      <c r="P26" s="7">
        <v>3759.21</v>
      </c>
      <c r="Q26" s="2"/>
      <c r="R26" s="6">
        <f t="shared" si="16"/>
        <v>1.8417481431791737E-2</v>
      </c>
      <c r="S26" s="2"/>
      <c r="T26" s="7">
        <v>2446.46</v>
      </c>
      <c r="U26" s="2"/>
      <c r="V26" s="6">
        <f t="shared" si="17"/>
        <v>0.19501272605385517</v>
      </c>
      <c r="W26" s="2"/>
      <c r="X26" s="7">
        <f t="shared" si="18"/>
        <v>1312.75</v>
      </c>
      <c r="Y26" s="2"/>
      <c r="Z26" s="6">
        <f t="shared" si="19"/>
        <v>0.53659164670585258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7">
        <v>10735.63</v>
      </c>
      <c r="E27" s="2"/>
      <c r="F27" s="6">
        <f t="shared" si="12"/>
        <v>6.6180186081474593E-2</v>
      </c>
      <c r="G27" s="2"/>
      <c r="H27" s="7">
        <v>12616.93</v>
      </c>
      <c r="I27" s="2"/>
      <c r="J27" s="6">
        <f t="shared" si="13"/>
        <v>1.0057233364660232</v>
      </c>
      <c r="K27" s="2"/>
      <c r="L27" s="7">
        <f t="shared" si="14"/>
        <v>-1881.3000000000011</v>
      </c>
      <c r="M27" s="2"/>
      <c r="N27" s="6">
        <f t="shared" si="15"/>
        <v>-0.14910917315067937</v>
      </c>
      <c r="O27" s="11"/>
      <c r="P27" s="7">
        <v>35638.959999999999</v>
      </c>
      <c r="Q27" s="2"/>
      <c r="R27" s="6">
        <f t="shared" si="16"/>
        <v>0.17460580389187316</v>
      </c>
      <c r="S27" s="2"/>
      <c r="T27" s="7">
        <v>37850.82</v>
      </c>
      <c r="U27" s="2"/>
      <c r="V27" s="6">
        <f t="shared" si="17"/>
        <v>3.0171724007642808</v>
      </c>
      <c r="W27" s="2"/>
      <c r="X27" s="7">
        <f t="shared" si="18"/>
        <v>-2211.8600000000006</v>
      </c>
      <c r="Y27" s="2"/>
      <c r="Z27" s="6">
        <f t="shared" si="19"/>
        <v>-5.8436250522445762E-2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7">
        <v>154.47999999999999</v>
      </c>
      <c r="E28" s="2"/>
      <c r="F28" s="6">
        <f t="shared" si="12"/>
        <v>9.52297643069498E-4</v>
      </c>
      <c r="G28" s="2"/>
      <c r="H28" s="7">
        <v>55.36</v>
      </c>
      <c r="I28" s="2"/>
      <c r="J28" s="6">
        <f t="shared" si="13"/>
        <v>4.4128677821592922E-3</v>
      </c>
      <c r="K28" s="2"/>
      <c r="L28" s="7">
        <f t="shared" si="14"/>
        <v>99.11999999999999</v>
      </c>
      <c r="M28" s="2"/>
      <c r="N28" s="6">
        <f t="shared" si="15"/>
        <v>1.7904624277456647</v>
      </c>
      <c r="O28" s="11"/>
      <c r="P28" s="7">
        <v>271.5</v>
      </c>
      <c r="Q28" s="2"/>
      <c r="R28" s="6">
        <f t="shared" si="16"/>
        <v>1.3301587856840817E-3</v>
      </c>
      <c r="S28" s="2"/>
      <c r="T28" s="7">
        <v>156.94999999999999</v>
      </c>
      <c r="U28" s="2"/>
      <c r="V28" s="6">
        <f t="shared" si="17"/>
        <v>1.2510830896132603E-2</v>
      </c>
      <c r="W28" s="2"/>
      <c r="X28" s="7">
        <f t="shared" si="18"/>
        <v>114.55000000000001</v>
      </c>
      <c r="Y28" s="2"/>
      <c r="Z28" s="6">
        <f t="shared" si="19"/>
        <v>0.72985027078687492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7">
        <v>836.6</v>
      </c>
      <c r="E29" s="2"/>
      <c r="F29" s="6">
        <f t="shared" si="12"/>
        <v>5.157251477161718E-3</v>
      </c>
      <c r="G29" s="2"/>
      <c r="H29" s="7">
        <v>485.07</v>
      </c>
      <c r="I29" s="2"/>
      <c r="J29" s="6">
        <f t="shared" si="13"/>
        <v>3.8666000272615748E-2</v>
      </c>
      <c r="K29" s="2"/>
      <c r="L29" s="7">
        <f t="shared" si="14"/>
        <v>351.53000000000003</v>
      </c>
      <c r="M29" s="2"/>
      <c r="N29" s="6">
        <f t="shared" si="15"/>
        <v>0.72469952790318926</v>
      </c>
      <c r="O29" s="11"/>
      <c r="P29" s="7">
        <v>2009.95</v>
      </c>
      <c r="Q29" s="2"/>
      <c r="R29" s="6">
        <f t="shared" si="16"/>
        <v>9.8473394154170169E-3</v>
      </c>
      <c r="S29" s="2"/>
      <c r="T29" s="7">
        <v>1697.74</v>
      </c>
      <c r="U29" s="2"/>
      <c r="V29" s="6">
        <f t="shared" si="17"/>
        <v>0.13533060239311989</v>
      </c>
      <c r="W29" s="2"/>
      <c r="X29" s="7">
        <f t="shared" si="18"/>
        <v>312.21000000000004</v>
      </c>
      <c r="Y29" s="2"/>
      <c r="Z29" s="6">
        <f t="shared" si="19"/>
        <v>0.18389741656555186</v>
      </c>
    </row>
    <row r="30" spans="1:26" s="24" customFormat="1" hidden="1" outlineLevel="2" x14ac:dyDescent="0.25">
      <c r="A30" s="28"/>
      <c r="B30" s="11" t="str">
        <f>CONCATENATE("          ", "6117", " - ", "RETIREMENT STAFF HOURLY")</f>
        <v xml:space="preserve">          6117 - RETIREMENT STAFF HOURLY</v>
      </c>
      <c r="C30" s="11"/>
      <c r="D30" s="7">
        <v>552.17999999999995</v>
      </c>
      <c r="E30" s="2"/>
      <c r="F30" s="6">
        <f t="shared" si="12"/>
        <v>3.4039339238096543E-3</v>
      </c>
      <c r="G30" s="2"/>
      <c r="H30" s="7">
        <v>558.34</v>
      </c>
      <c r="I30" s="2"/>
      <c r="J30" s="6">
        <f t="shared" si="13"/>
        <v>4.4506513682998905E-2</v>
      </c>
      <c r="K30" s="2"/>
      <c r="L30" s="7">
        <f t="shared" si="14"/>
        <v>-6.1600000000000819</v>
      </c>
      <c r="M30" s="2"/>
      <c r="N30" s="6">
        <f t="shared" si="15"/>
        <v>-1.1032704087115524E-2</v>
      </c>
      <c r="O30" s="11"/>
      <c r="P30" s="7">
        <v>1985.82</v>
      </c>
      <c r="Q30" s="2"/>
      <c r="R30" s="6">
        <f t="shared" si="16"/>
        <v>9.7291194098974697E-3</v>
      </c>
      <c r="S30" s="2"/>
      <c r="T30" s="7">
        <v>1784.02</v>
      </c>
      <c r="U30" s="2"/>
      <c r="V30" s="6">
        <f t="shared" si="17"/>
        <v>0.14220817161719329</v>
      </c>
      <c r="W30" s="2"/>
      <c r="X30" s="7">
        <f t="shared" si="18"/>
        <v>201.79999999999995</v>
      </c>
      <c r="Y30" s="2"/>
      <c r="Z30" s="6">
        <f t="shared" si="19"/>
        <v>0.11311532381923967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7">
        <v>1644.87</v>
      </c>
      <c r="E31" s="2"/>
      <c r="F31" s="6">
        <f t="shared" si="12"/>
        <v>1.0139861627108527E-2</v>
      </c>
      <c r="G31" s="2"/>
      <c r="H31" s="7">
        <v>1242.1199999999999</v>
      </c>
      <c r="I31" s="2"/>
      <c r="J31" s="6">
        <f t="shared" si="13"/>
        <v>9.9012126618058166E-2</v>
      </c>
      <c r="K31" s="2"/>
      <c r="L31" s="7">
        <f t="shared" si="14"/>
        <v>402.75</v>
      </c>
      <c r="M31" s="2"/>
      <c r="N31" s="6">
        <f t="shared" si="15"/>
        <v>0.3242440343928123</v>
      </c>
      <c r="O31" s="11"/>
      <c r="P31" s="7">
        <v>4234.54</v>
      </c>
      <c r="Q31" s="2"/>
      <c r="R31" s="6">
        <f t="shared" si="16"/>
        <v>2.0746263662359748E-2</v>
      </c>
      <c r="S31" s="2"/>
      <c r="T31" s="7">
        <v>3662.61</v>
      </c>
      <c r="U31" s="2"/>
      <c r="V31" s="6">
        <f t="shared" si="17"/>
        <v>0.29195472665488525</v>
      </c>
      <c r="W31" s="2"/>
      <c r="X31" s="7">
        <f t="shared" si="18"/>
        <v>571.92999999999984</v>
      </c>
      <c r="Y31" s="2"/>
      <c r="Z31" s="6">
        <f t="shared" si="19"/>
        <v>0.15615367183511206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7">
        <v>1459.52</v>
      </c>
      <c r="E32" s="2"/>
      <c r="F32" s="6">
        <f t="shared" si="12"/>
        <v>8.9972647333816276E-3</v>
      </c>
      <c r="G32" s="2"/>
      <c r="H32" s="7">
        <v>946.52</v>
      </c>
      <c r="I32" s="2"/>
      <c r="J32" s="6">
        <f t="shared" si="13"/>
        <v>7.5449198214765409E-2</v>
      </c>
      <c r="K32" s="2"/>
      <c r="L32" s="7">
        <f t="shared" si="14"/>
        <v>513</v>
      </c>
      <c r="M32" s="2"/>
      <c r="N32" s="6">
        <f t="shared" si="15"/>
        <v>0.54198537801631241</v>
      </c>
      <c r="O32" s="11"/>
      <c r="P32" s="7">
        <v>3481.35</v>
      </c>
      <c r="Q32" s="2"/>
      <c r="R32" s="6">
        <f t="shared" si="16"/>
        <v>1.7056163125382238E-2</v>
      </c>
      <c r="S32" s="2"/>
      <c r="T32" s="7">
        <v>2839.56</v>
      </c>
      <c r="U32" s="2"/>
      <c r="V32" s="6">
        <f t="shared" si="17"/>
        <v>0.22634759464429624</v>
      </c>
      <c r="W32" s="2"/>
      <c r="X32" s="7">
        <f t="shared" si="18"/>
        <v>641.79</v>
      </c>
      <c r="Y32" s="2"/>
      <c r="Z32" s="6">
        <f t="shared" si="19"/>
        <v>0.22601741114820606</v>
      </c>
    </row>
    <row r="33" spans="1:26" s="24" customFormat="1" hidden="1" outlineLevel="2" x14ac:dyDescent="0.25">
      <c r="A33" s="28"/>
      <c r="B33" s="11" t="str">
        <f>CONCATENATE("          ", "6156", " - ", "EMPLOYEE MEALS")</f>
        <v xml:space="preserve">          6156 - EMPLOYEE MEALS</v>
      </c>
      <c r="C33" s="11"/>
      <c r="D33" s="7">
        <v>1141.6099999999999</v>
      </c>
      <c r="E33" s="2"/>
      <c r="F33" s="6">
        <f t="shared" si="12"/>
        <v>7.0374968429865979E-3</v>
      </c>
      <c r="G33" s="2"/>
      <c r="H33" s="7">
        <v>824</v>
      </c>
      <c r="I33" s="2"/>
      <c r="J33" s="6">
        <f t="shared" si="13"/>
        <v>6.5682858607284261E-2</v>
      </c>
      <c r="K33" s="2"/>
      <c r="L33" s="7">
        <f t="shared" si="14"/>
        <v>317.6099999999999</v>
      </c>
      <c r="M33" s="2"/>
      <c r="N33" s="6">
        <f t="shared" si="15"/>
        <v>0.38544902912621348</v>
      </c>
      <c r="O33" s="11"/>
      <c r="P33" s="7">
        <v>2620.06</v>
      </c>
      <c r="Q33" s="2"/>
      <c r="R33" s="6">
        <f t="shared" si="16"/>
        <v>1.283644872198687E-2</v>
      </c>
      <c r="S33" s="2"/>
      <c r="T33" s="7">
        <v>2412.8000000000002</v>
      </c>
      <c r="U33" s="2"/>
      <c r="V33" s="6">
        <f t="shared" si="17"/>
        <v>0.19232961316463046</v>
      </c>
      <c r="W33" s="2"/>
      <c r="X33" s="7">
        <f t="shared" si="18"/>
        <v>207.25999999999976</v>
      </c>
      <c r="Y33" s="2"/>
      <c r="Z33" s="6">
        <f t="shared" si="19"/>
        <v>8.5900198938991937E-2</v>
      </c>
    </row>
    <row r="34" spans="1:26" s="27" customFormat="1" outlineLevel="1" collapsed="1" x14ac:dyDescent="0.25">
      <c r="A34" s="29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68381.959999999992</v>
      </c>
      <c r="E34" s="1"/>
      <c r="F34" s="5">
        <f t="shared" ref="F34:F39" si="20">IF(D$12=0,0,D34/D$12)</f>
        <v>0.42154310808177559</v>
      </c>
      <c r="G34" s="1"/>
      <c r="H34" s="1">
        <f>SUM(OSRRefH22_1x_0)</f>
        <v>21204.41</v>
      </c>
      <c r="I34" s="1"/>
      <c r="J34" s="5">
        <f t="shared" ref="J34:J39" si="21">IF(H$12=0,0,H34/H$12)</f>
        <v>1.690250320243792</v>
      </c>
      <c r="K34" s="1"/>
      <c r="L34" s="1">
        <f t="shared" ref="L34:L39" si="22">+D34-H34</f>
        <v>47177.549999999988</v>
      </c>
      <c r="M34" s="1"/>
      <c r="N34" s="5">
        <f t="shared" ref="N34:N39" si="23">IF(H34=0,0,L34/H34)</f>
        <v>2.2248933122873962</v>
      </c>
      <c r="O34" s="14"/>
      <c r="P34" s="1">
        <f>SUM(OSRRefP22_1x_0)</f>
        <v>121310.35999999999</v>
      </c>
      <c r="Q34" s="1"/>
      <c r="R34" s="5">
        <f t="shared" ref="R34:R39" si="24">IF(P$12=0,0,P34/P$12)</f>
        <v>0.59433532651380772</v>
      </c>
      <c r="S34" s="1"/>
      <c r="T34" s="1">
        <f>SUM(OSRRefT22_1x_0)</f>
        <v>58777.919999999998</v>
      </c>
      <c r="U34" s="1"/>
      <c r="V34" s="5">
        <f t="shared" ref="V34:V39" si="25">IF(T$12=0,0,T34/T$12)</f>
        <v>4.6853177288716816</v>
      </c>
      <c r="W34" s="1"/>
      <c r="X34" s="1">
        <f t="shared" ref="X34:X39" si="26">+P34-T34</f>
        <v>62532.439999999988</v>
      </c>
      <c r="Y34" s="1"/>
      <c r="Z34" s="5">
        <f t="shared" ref="Z34:Z39" si="27">IF(T34=0,0,X34/T34)</f>
        <v>1.0638763671800566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7">
        <v>8136.36</v>
      </c>
      <c r="E35" s="2"/>
      <c r="F35" s="6">
        <f t="shared" si="20"/>
        <v>5.0156890543532763E-2</v>
      </c>
      <c r="G35" s="2"/>
      <c r="H35" s="7">
        <v>4177.45</v>
      </c>
      <c r="I35" s="2"/>
      <c r="J35" s="6">
        <f t="shared" si="21"/>
        <v>0.33299375933131026</v>
      </c>
      <c r="K35" s="2"/>
      <c r="L35" s="7">
        <f t="shared" si="22"/>
        <v>3958.91</v>
      </c>
      <c r="M35" s="2"/>
      <c r="N35" s="6">
        <f t="shared" si="23"/>
        <v>0.94768578917760837</v>
      </c>
      <c r="O35" s="11"/>
      <c r="P35" s="7">
        <v>18555.75</v>
      </c>
      <c r="Q35" s="2"/>
      <c r="R35" s="6">
        <f t="shared" si="24"/>
        <v>9.0910106399474763E-2</v>
      </c>
      <c r="S35" s="2"/>
      <c r="T35" s="7">
        <v>13411.49</v>
      </c>
      <c r="U35" s="2"/>
      <c r="V35" s="6">
        <f t="shared" si="25"/>
        <v>1.0690594676978238</v>
      </c>
      <c r="W35" s="2"/>
      <c r="X35" s="7">
        <f t="shared" si="26"/>
        <v>5144.26</v>
      </c>
      <c r="Y35" s="2"/>
      <c r="Z35" s="6">
        <f t="shared" si="27"/>
        <v>0.38357110209231043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7">
        <v>35436.99</v>
      </c>
      <c r="E36" s="2"/>
      <c r="F36" s="6">
        <f t="shared" si="20"/>
        <v>0.21845262852458164</v>
      </c>
      <c r="G36" s="2"/>
      <c r="H36" s="7">
        <v>16376.96</v>
      </c>
      <c r="I36" s="2"/>
      <c r="J36" s="6">
        <f t="shared" si="21"/>
        <v>1.3054436263314928</v>
      </c>
      <c r="K36" s="2"/>
      <c r="L36" s="7">
        <f t="shared" si="22"/>
        <v>19060.03</v>
      </c>
      <c r="M36" s="2"/>
      <c r="N36" s="6">
        <f t="shared" si="23"/>
        <v>1.1638319932392824</v>
      </c>
      <c r="O36" s="11"/>
      <c r="P36" s="7">
        <v>62681.46</v>
      </c>
      <c r="Q36" s="2"/>
      <c r="R36" s="6">
        <f t="shared" si="24"/>
        <v>0.30709500817129037</v>
      </c>
      <c r="S36" s="2"/>
      <c r="T36" s="7">
        <v>42093.43</v>
      </c>
      <c r="U36" s="2"/>
      <c r="V36" s="6">
        <f t="shared" si="25"/>
        <v>3.3553602075068176</v>
      </c>
      <c r="W36" s="2"/>
      <c r="X36" s="7">
        <f t="shared" si="26"/>
        <v>20588.03</v>
      </c>
      <c r="Y36" s="2"/>
      <c r="Z36" s="6">
        <f t="shared" si="27"/>
        <v>0.48910316883181054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7">
        <v>10505.25</v>
      </c>
      <c r="E37" s="2"/>
      <c r="F37" s="6">
        <f t="shared" si="20"/>
        <v>6.4760000096166781E-2</v>
      </c>
      <c r="G37" s="2"/>
      <c r="H37" s="7"/>
      <c r="I37" s="2"/>
      <c r="J37" s="6">
        <f t="shared" si="21"/>
        <v>0</v>
      </c>
      <c r="K37" s="2"/>
      <c r="L37" s="7">
        <f t="shared" si="22"/>
        <v>10505.25</v>
      </c>
      <c r="M37" s="2"/>
      <c r="N37" s="6">
        <f t="shared" si="23"/>
        <v>0</v>
      </c>
      <c r="O37" s="11"/>
      <c r="P37" s="7">
        <v>11912.93</v>
      </c>
      <c r="Q37" s="2"/>
      <c r="R37" s="6">
        <f t="shared" si="24"/>
        <v>5.8364966860918854E-2</v>
      </c>
      <c r="S37" s="2"/>
      <c r="T37" s="7"/>
      <c r="U37" s="2"/>
      <c r="V37" s="6">
        <f t="shared" si="25"/>
        <v>0</v>
      </c>
      <c r="W37" s="2"/>
      <c r="X37" s="7">
        <f t="shared" si="26"/>
        <v>11912.93</v>
      </c>
      <c r="Y37" s="2"/>
      <c r="Z37" s="6">
        <f t="shared" si="27"/>
        <v>0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7">
        <v>13245.38</v>
      </c>
      <c r="E38" s="2"/>
      <c r="F38" s="6">
        <f t="shared" si="20"/>
        <v>8.1651632286120324E-2</v>
      </c>
      <c r="G38" s="2"/>
      <c r="H38" s="7">
        <v>650</v>
      </c>
      <c r="I38" s="2"/>
      <c r="J38" s="6">
        <f t="shared" si="21"/>
        <v>5.1812934580988804E-2</v>
      </c>
      <c r="K38" s="2"/>
      <c r="L38" s="7">
        <f t="shared" si="22"/>
        <v>12595.38</v>
      </c>
      <c r="M38" s="2"/>
      <c r="N38" s="6">
        <f t="shared" si="23"/>
        <v>19.377507692307692</v>
      </c>
      <c r="O38" s="11"/>
      <c r="P38" s="7">
        <v>27102.240000000002</v>
      </c>
      <c r="Q38" s="2"/>
      <c r="R38" s="6">
        <f t="shared" si="24"/>
        <v>0.13278188820522485</v>
      </c>
      <c r="S38" s="2"/>
      <c r="T38" s="7">
        <v>3273</v>
      </c>
      <c r="U38" s="2"/>
      <c r="V38" s="6">
        <f t="shared" si="25"/>
        <v>0.26089805366704055</v>
      </c>
      <c r="W38" s="2"/>
      <c r="X38" s="7">
        <f t="shared" si="26"/>
        <v>23829.24</v>
      </c>
      <c r="Y38" s="2"/>
      <c r="Z38" s="6">
        <f t="shared" si="27"/>
        <v>7.2805499541704863</v>
      </c>
    </row>
    <row r="39" spans="1:26" s="24" customFormat="1" hidden="1" outlineLevel="2" x14ac:dyDescent="0.25">
      <c r="A39" s="28"/>
      <c r="B39" s="11" t="str">
        <f>CONCATENATE("          ", "6008", " - ", "STUDENT HOURLY-FICA EXEMPT")</f>
        <v xml:space="preserve">          6008 - STUDENT HOURLY-FICA EXEMPT</v>
      </c>
      <c r="C39" s="11"/>
      <c r="D39" s="7">
        <v>1057.98</v>
      </c>
      <c r="E39" s="2"/>
      <c r="F39" s="6">
        <f t="shared" si="20"/>
        <v>6.5219566313740786E-3</v>
      </c>
      <c r="G39" s="2"/>
      <c r="H39" s="7"/>
      <c r="I39" s="2"/>
      <c r="J39" s="6">
        <f t="shared" si="21"/>
        <v>0</v>
      </c>
      <c r="K39" s="2"/>
      <c r="L39" s="7">
        <f t="shared" si="22"/>
        <v>1057.98</v>
      </c>
      <c r="M39" s="2"/>
      <c r="N39" s="6">
        <f t="shared" si="23"/>
        <v>0</v>
      </c>
      <c r="O39" s="11"/>
      <c r="P39" s="7">
        <v>1057.98</v>
      </c>
      <c r="Q39" s="2"/>
      <c r="R39" s="6">
        <f t="shared" si="24"/>
        <v>5.1833568768988756E-3</v>
      </c>
      <c r="S39" s="2"/>
      <c r="T39" s="7"/>
      <c r="U39" s="2"/>
      <c r="V39" s="6">
        <f t="shared" si="25"/>
        <v>0</v>
      </c>
      <c r="W39" s="2"/>
      <c r="X39" s="7">
        <f t="shared" si="26"/>
        <v>1057.98</v>
      </c>
      <c r="Y39" s="2"/>
      <c r="Z39" s="6">
        <f t="shared" si="27"/>
        <v>0</v>
      </c>
    </row>
    <row r="40" spans="1:26" s="27" customFormat="1" outlineLevel="1" collapsed="1" x14ac:dyDescent="0.25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92.54</v>
      </c>
      <c r="E40" s="1"/>
      <c r="F40" s="5">
        <f t="shared" ref="F40:F64" si="28">IF(D$12=0,0,D40/D$12)</f>
        <v>5.7046623439701812E-4</v>
      </c>
      <c r="G40" s="1"/>
      <c r="H40" s="1">
        <f>SUM(OSRRefH22_2x_0)</f>
        <v>0</v>
      </c>
      <c r="I40" s="1"/>
      <c r="J40" s="5">
        <f t="shared" ref="J40:J64" si="29">IF(H$12=0,0,H40/H$12)</f>
        <v>0</v>
      </c>
      <c r="K40" s="1"/>
      <c r="L40" s="1">
        <f t="shared" ref="L40:L64" si="30">+D40-H40</f>
        <v>92.54</v>
      </c>
      <c r="M40" s="1"/>
      <c r="N40" s="5">
        <f t="shared" ref="N40:N64" si="31">IF(H40=0,0,L40/H40)</f>
        <v>0</v>
      </c>
      <c r="O40" s="14"/>
      <c r="P40" s="1">
        <f>SUM(OSRRefP22_2x_0)</f>
        <v>855.27</v>
      </c>
      <c r="Q40" s="1"/>
      <c r="R40" s="5">
        <f t="shared" ref="R40:R64" si="32">IF(P$12=0,0,P40/P$12)</f>
        <v>4.1902206432118767E-3</v>
      </c>
      <c r="S40" s="1"/>
      <c r="T40" s="1">
        <f>SUM(OSRRefT22_2x_0)</f>
        <v>0</v>
      </c>
      <c r="U40" s="1"/>
      <c r="V40" s="5">
        <f t="shared" ref="V40:V64" si="33">IF(T$12=0,0,T40/T$12)</f>
        <v>0</v>
      </c>
      <c r="W40" s="1"/>
      <c r="X40" s="1">
        <f t="shared" ref="X40:X64" si="34">+P40-T40</f>
        <v>855.27</v>
      </c>
      <c r="Y40" s="1"/>
      <c r="Z40" s="5">
        <f t="shared" ref="Z40:Z64" si="35">IF(T40=0,0,X40/T40)</f>
        <v>0</v>
      </c>
    </row>
    <row r="41" spans="1:26" s="24" customFormat="1" hidden="1" outlineLevel="2" x14ac:dyDescent="0.25">
      <c r="A41" s="28"/>
      <c r="B41" s="11" t="str">
        <f>CONCATENATE("          ", "6362", " - ", "ADVERTISING EXPENSE")</f>
        <v xml:space="preserve">          6362 - ADVERTISING EXPENSE</v>
      </c>
      <c r="C41" s="11"/>
      <c r="D41" s="7">
        <v>92.54</v>
      </c>
      <c r="E41" s="2"/>
      <c r="F41" s="6">
        <f t="shared" si="28"/>
        <v>5.7046623439701812E-4</v>
      </c>
      <c r="G41" s="2"/>
      <c r="H41" s="7"/>
      <c r="I41" s="2"/>
      <c r="J41" s="6">
        <f t="shared" si="29"/>
        <v>0</v>
      </c>
      <c r="K41" s="2"/>
      <c r="L41" s="7">
        <f t="shared" si="30"/>
        <v>92.54</v>
      </c>
      <c r="M41" s="2"/>
      <c r="N41" s="6">
        <f t="shared" si="31"/>
        <v>0</v>
      </c>
      <c r="O41" s="11"/>
      <c r="P41" s="7">
        <v>855.27</v>
      </c>
      <c r="Q41" s="2"/>
      <c r="R41" s="6">
        <f t="shared" si="32"/>
        <v>4.1902206432118767E-3</v>
      </c>
      <c r="S41" s="2"/>
      <c r="T41" s="7"/>
      <c r="U41" s="2"/>
      <c r="V41" s="6">
        <f t="shared" si="33"/>
        <v>0</v>
      </c>
      <c r="W41" s="2"/>
      <c r="X41" s="7">
        <f t="shared" si="34"/>
        <v>855.27</v>
      </c>
      <c r="Y41" s="2"/>
      <c r="Z41" s="6">
        <f t="shared" si="35"/>
        <v>0</v>
      </c>
    </row>
    <row r="42" spans="1:26" s="27" customFormat="1" outlineLevel="1" collapsed="1" x14ac:dyDescent="0.25">
      <c r="A42" s="29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0</v>
      </c>
      <c r="E42" s="1"/>
      <c r="F42" s="5">
        <f t="shared" si="28"/>
        <v>0</v>
      </c>
      <c r="G42" s="1"/>
      <c r="H42" s="1">
        <f>SUM(OSRRefH22_3x_0)</f>
        <v>29.74</v>
      </c>
      <c r="I42" s="1"/>
      <c r="J42" s="5">
        <f t="shared" si="29"/>
        <v>2.3706410375978568E-3</v>
      </c>
      <c r="K42" s="1"/>
      <c r="L42" s="1">
        <f t="shared" si="30"/>
        <v>-29.74</v>
      </c>
      <c r="M42" s="1"/>
      <c r="N42" s="5">
        <f t="shared" si="31"/>
        <v>-1</v>
      </c>
      <c r="O42" s="14"/>
      <c r="P42" s="1">
        <f>SUM(OSRRefP22_3x_0)</f>
        <v>0</v>
      </c>
      <c r="Q42" s="1"/>
      <c r="R42" s="5">
        <f t="shared" si="32"/>
        <v>0</v>
      </c>
      <c r="S42" s="1"/>
      <c r="T42" s="1">
        <f>SUM(OSRRefT22_3x_0)</f>
        <v>29.74</v>
      </c>
      <c r="U42" s="1"/>
      <c r="V42" s="5">
        <f t="shared" si="33"/>
        <v>2.3706410375978568E-3</v>
      </c>
      <c r="W42" s="1"/>
      <c r="X42" s="1">
        <f t="shared" si="34"/>
        <v>-29.74</v>
      </c>
      <c r="Y42" s="1"/>
      <c r="Z42" s="5">
        <f t="shared" si="35"/>
        <v>-1</v>
      </c>
    </row>
    <row r="43" spans="1:26" s="24" customFormat="1" hidden="1" outlineLevel="2" x14ac:dyDescent="0.25">
      <c r="A43" s="28"/>
      <c r="B43" s="11" t="str">
        <f>CONCATENATE("          ", "6272", " - ", "CASH (OVER/SHORT)")</f>
        <v xml:space="preserve">          6272 - CASH (OVER/SHORT)</v>
      </c>
      <c r="C43" s="11"/>
      <c r="D43" s="7"/>
      <c r="E43" s="2"/>
      <c r="F43" s="6">
        <f t="shared" si="28"/>
        <v>0</v>
      </c>
      <c r="G43" s="2"/>
      <c r="H43" s="7">
        <v>29.74</v>
      </c>
      <c r="I43" s="2"/>
      <c r="J43" s="6">
        <f t="shared" si="29"/>
        <v>2.3706410375978568E-3</v>
      </c>
      <c r="K43" s="2"/>
      <c r="L43" s="7">
        <f t="shared" si="30"/>
        <v>-29.74</v>
      </c>
      <c r="M43" s="2"/>
      <c r="N43" s="6">
        <f t="shared" si="31"/>
        <v>-1</v>
      </c>
      <c r="O43" s="11"/>
      <c r="P43" s="7"/>
      <c r="Q43" s="2"/>
      <c r="R43" s="6">
        <f t="shared" si="32"/>
        <v>0</v>
      </c>
      <c r="S43" s="2"/>
      <c r="T43" s="7">
        <v>29.74</v>
      </c>
      <c r="U43" s="2"/>
      <c r="V43" s="6">
        <f t="shared" si="33"/>
        <v>2.3706410375978568E-3</v>
      </c>
      <c r="W43" s="2"/>
      <c r="X43" s="7">
        <f t="shared" si="34"/>
        <v>-29.74</v>
      </c>
      <c r="Y43" s="2"/>
      <c r="Z43" s="6">
        <f t="shared" si="35"/>
        <v>-1</v>
      </c>
    </row>
    <row r="44" spans="1:26" s="27" customFormat="1" outlineLevel="1" collapsed="1" x14ac:dyDescent="0.25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54.14</v>
      </c>
      <c r="E44" s="1"/>
      <c r="F44" s="5">
        <f t="shared" si="28"/>
        <v>3.3374802172308793E-4</v>
      </c>
      <c r="G44" s="1"/>
      <c r="H44" s="1">
        <f>SUM(OSRRefH22_4x_0)</f>
        <v>0</v>
      </c>
      <c r="I44" s="1"/>
      <c r="J44" s="5">
        <f t="shared" si="29"/>
        <v>0</v>
      </c>
      <c r="K44" s="1"/>
      <c r="L44" s="1">
        <f t="shared" si="30"/>
        <v>54.14</v>
      </c>
      <c r="M44" s="1"/>
      <c r="N44" s="5">
        <f t="shared" si="31"/>
        <v>0</v>
      </c>
      <c r="O44" s="14"/>
      <c r="P44" s="1">
        <f>SUM(OSRRefP22_4x_0)</f>
        <v>94.7</v>
      </c>
      <c r="Q44" s="1"/>
      <c r="R44" s="5">
        <f t="shared" si="32"/>
        <v>4.6396330388317694E-4</v>
      </c>
      <c r="S44" s="1"/>
      <c r="T44" s="1">
        <f>SUM(OSRRefT22_4x_0)</f>
        <v>0</v>
      </c>
      <c r="U44" s="1"/>
      <c r="V44" s="5">
        <f t="shared" si="33"/>
        <v>0</v>
      </c>
      <c r="W44" s="1"/>
      <c r="X44" s="1">
        <f t="shared" si="34"/>
        <v>94.7</v>
      </c>
      <c r="Y44" s="1"/>
      <c r="Z44" s="5">
        <f t="shared" si="35"/>
        <v>0</v>
      </c>
    </row>
    <row r="45" spans="1:26" s="24" customFormat="1" hidden="1" outlineLevel="2" x14ac:dyDescent="0.25">
      <c r="A45" s="28"/>
      <c r="B45" s="11" t="str">
        <f>CONCATENATE("          ", "6381", " - ", "BANK/CREDIT CARD FEES")</f>
        <v xml:space="preserve">          6381 - BANK/CREDIT CARD FEES</v>
      </c>
      <c r="C45" s="11"/>
      <c r="D45" s="7">
        <v>54.14</v>
      </c>
      <c r="E45" s="2"/>
      <c r="F45" s="6">
        <f t="shared" si="28"/>
        <v>3.3374802172308793E-4</v>
      </c>
      <c r="G45" s="2"/>
      <c r="H45" s="7"/>
      <c r="I45" s="2"/>
      <c r="J45" s="6">
        <f t="shared" si="29"/>
        <v>0</v>
      </c>
      <c r="K45" s="2"/>
      <c r="L45" s="7">
        <f t="shared" si="30"/>
        <v>54.14</v>
      </c>
      <c r="M45" s="2"/>
      <c r="N45" s="6">
        <f t="shared" si="31"/>
        <v>0</v>
      </c>
      <c r="O45" s="11"/>
      <c r="P45" s="7">
        <v>94.7</v>
      </c>
      <c r="Q45" s="2"/>
      <c r="R45" s="6">
        <f t="shared" si="32"/>
        <v>4.6396330388317694E-4</v>
      </c>
      <c r="S45" s="2"/>
      <c r="T45" s="7"/>
      <c r="U45" s="2"/>
      <c r="V45" s="6">
        <f t="shared" si="33"/>
        <v>0</v>
      </c>
      <c r="W45" s="2"/>
      <c r="X45" s="7">
        <f t="shared" si="34"/>
        <v>94.7</v>
      </c>
      <c r="Y45" s="2"/>
      <c r="Z45" s="6">
        <f t="shared" si="35"/>
        <v>0</v>
      </c>
    </row>
    <row r="46" spans="1:26" s="27" customFormat="1" outlineLevel="1" collapsed="1" x14ac:dyDescent="0.25">
      <c r="A46" s="29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213.02</v>
      </c>
      <c r="E46" s="1"/>
      <c r="F46" s="5">
        <f t="shared" si="28"/>
        <v>1.3131696266614739E-3</v>
      </c>
      <c r="G46" s="1"/>
      <c r="H46" s="1">
        <f>SUM(OSRRefH22_5x_0)</f>
        <v>213.02</v>
      </c>
      <c r="I46" s="1"/>
      <c r="J46" s="5">
        <f t="shared" si="29"/>
        <v>1.6980294345295747E-2</v>
      </c>
      <c r="K46" s="1"/>
      <c r="L46" s="1">
        <f t="shared" si="30"/>
        <v>0</v>
      </c>
      <c r="M46" s="1"/>
      <c r="N46" s="5">
        <f t="shared" si="31"/>
        <v>0</v>
      </c>
      <c r="O46" s="14"/>
      <c r="P46" s="1">
        <f>SUM(OSRRefP22_5x_0)</f>
        <v>639.05999999999995</v>
      </c>
      <c r="Q46" s="1"/>
      <c r="R46" s="5">
        <f t="shared" si="32"/>
        <v>3.1309439174190394E-3</v>
      </c>
      <c r="S46" s="1"/>
      <c r="T46" s="1">
        <f>SUM(OSRRefT22_5x_0)</f>
        <v>639.05999999999995</v>
      </c>
      <c r="U46" s="1"/>
      <c r="V46" s="5">
        <f t="shared" si="33"/>
        <v>5.094088303588723E-2</v>
      </c>
      <c r="W46" s="1"/>
      <c r="X46" s="1">
        <f t="shared" si="34"/>
        <v>0</v>
      </c>
      <c r="Y46" s="1"/>
      <c r="Z46" s="5">
        <f t="shared" si="35"/>
        <v>0</v>
      </c>
    </row>
    <row r="47" spans="1:26" s="24" customFormat="1" hidden="1" outlineLevel="2" x14ac:dyDescent="0.25">
      <c r="A47" s="28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213.02</v>
      </c>
      <c r="E47" s="2"/>
      <c r="F47" s="6">
        <f t="shared" si="28"/>
        <v>1.3131696266614739E-3</v>
      </c>
      <c r="G47" s="2"/>
      <c r="H47" s="7">
        <v>213.02</v>
      </c>
      <c r="I47" s="2"/>
      <c r="J47" s="6">
        <f t="shared" si="29"/>
        <v>1.6980294345295747E-2</v>
      </c>
      <c r="K47" s="2"/>
      <c r="L47" s="7">
        <f t="shared" si="30"/>
        <v>0</v>
      </c>
      <c r="M47" s="2"/>
      <c r="N47" s="6">
        <f t="shared" si="31"/>
        <v>0</v>
      </c>
      <c r="O47" s="11"/>
      <c r="P47" s="7">
        <v>639.05999999999995</v>
      </c>
      <c r="Q47" s="2"/>
      <c r="R47" s="6">
        <f t="shared" si="32"/>
        <v>3.1309439174190394E-3</v>
      </c>
      <c r="S47" s="2"/>
      <c r="T47" s="7">
        <v>639.05999999999995</v>
      </c>
      <c r="U47" s="2"/>
      <c r="V47" s="6">
        <f t="shared" si="33"/>
        <v>5.094088303588723E-2</v>
      </c>
      <c r="W47" s="2"/>
      <c r="X47" s="7">
        <f t="shared" si="34"/>
        <v>0</v>
      </c>
      <c r="Y47" s="2"/>
      <c r="Z47" s="6">
        <f t="shared" si="35"/>
        <v>0</v>
      </c>
    </row>
    <row r="48" spans="1:26" s="27" customFormat="1" outlineLevel="1" collapsed="1" x14ac:dyDescent="0.25">
      <c r="A48" s="29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1854.43</v>
      </c>
      <c r="E48" s="1"/>
      <c r="F48" s="5">
        <f t="shared" si="28"/>
        <v>1.1431701956482195E-2</v>
      </c>
      <c r="G48" s="1"/>
      <c r="H48" s="1">
        <f>SUM(OSRRefH22_6x_0)</f>
        <v>0</v>
      </c>
      <c r="I48" s="1"/>
      <c r="J48" s="5">
        <f t="shared" si="29"/>
        <v>0</v>
      </c>
      <c r="K48" s="1"/>
      <c r="L48" s="1">
        <f t="shared" si="30"/>
        <v>1854.43</v>
      </c>
      <c r="M48" s="1"/>
      <c r="N48" s="5">
        <f t="shared" si="31"/>
        <v>0</v>
      </c>
      <c r="O48" s="14"/>
      <c r="P48" s="1">
        <f>SUM(OSRRefP22_6x_0)</f>
        <v>2516.73</v>
      </c>
      <c r="Q48" s="1"/>
      <c r="R48" s="5">
        <f t="shared" si="32"/>
        <v>1.2330204496113072E-2</v>
      </c>
      <c r="S48" s="1"/>
      <c r="T48" s="1">
        <f>SUM(OSRRefT22_6x_0)</f>
        <v>0</v>
      </c>
      <c r="U48" s="1"/>
      <c r="V48" s="5">
        <f t="shared" si="33"/>
        <v>0</v>
      </c>
      <c r="W48" s="1"/>
      <c r="X48" s="1">
        <f t="shared" si="34"/>
        <v>2516.73</v>
      </c>
      <c r="Y48" s="1"/>
      <c r="Z48" s="5">
        <f t="shared" si="35"/>
        <v>0</v>
      </c>
    </row>
    <row r="49" spans="1:26" s="24" customFormat="1" hidden="1" outlineLevel="2" x14ac:dyDescent="0.25">
      <c r="A49" s="28"/>
      <c r="B49" s="11" t="str">
        <f>CONCATENATE("          ", "6399", " - ", "DONATION-ON CAMPUS")</f>
        <v xml:space="preserve">          6399 - DONATION-ON CAMPUS</v>
      </c>
      <c r="C49" s="11"/>
      <c r="D49" s="7">
        <v>1854.43</v>
      </c>
      <c r="E49" s="2"/>
      <c r="F49" s="6">
        <f t="shared" si="28"/>
        <v>1.1431701956482195E-2</v>
      </c>
      <c r="G49" s="2"/>
      <c r="H49" s="7"/>
      <c r="I49" s="2"/>
      <c r="J49" s="6">
        <f t="shared" si="29"/>
        <v>0</v>
      </c>
      <c r="K49" s="2"/>
      <c r="L49" s="7">
        <f t="shared" si="30"/>
        <v>1854.43</v>
      </c>
      <c r="M49" s="2"/>
      <c r="N49" s="6">
        <f t="shared" si="31"/>
        <v>0</v>
      </c>
      <c r="O49" s="11"/>
      <c r="P49" s="7">
        <v>2516.73</v>
      </c>
      <c r="Q49" s="2"/>
      <c r="R49" s="6">
        <f t="shared" si="32"/>
        <v>1.2330204496113072E-2</v>
      </c>
      <c r="S49" s="2"/>
      <c r="T49" s="7"/>
      <c r="U49" s="2"/>
      <c r="V49" s="6">
        <f t="shared" si="33"/>
        <v>0</v>
      </c>
      <c r="W49" s="2"/>
      <c r="X49" s="7">
        <f t="shared" si="34"/>
        <v>2516.73</v>
      </c>
      <c r="Y49" s="2"/>
      <c r="Z49" s="6">
        <f t="shared" si="35"/>
        <v>0</v>
      </c>
    </row>
    <row r="50" spans="1:26" s="27" customFormat="1" outlineLevel="1" collapsed="1" x14ac:dyDescent="0.25">
      <c r="A50" s="29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SUM(OSRRefD22_7x_0)</f>
        <v>14.49</v>
      </c>
      <c r="E50" s="1"/>
      <c r="F50" s="5">
        <f t="shared" si="28"/>
        <v>8.9324138063678329E-5</v>
      </c>
      <c r="G50" s="1"/>
      <c r="H50" s="1">
        <f>SUM(OSRRefH22_7x_0)</f>
        <v>0</v>
      </c>
      <c r="I50" s="1"/>
      <c r="J50" s="5">
        <f t="shared" si="29"/>
        <v>0</v>
      </c>
      <c r="K50" s="1"/>
      <c r="L50" s="1">
        <f t="shared" si="30"/>
        <v>14.49</v>
      </c>
      <c r="M50" s="1"/>
      <c r="N50" s="5">
        <f t="shared" si="31"/>
        <v>0</v>
      </c>
      <c r="O50" s="14"/>
      <c r="P50" s="1">
        <f>SUM(OSRRefP22_7x_0)</f>
        <v>14.49</v>
      </c>
      <c r="Q50" s="1"/>
      <c r="R50" s="5">
        <f t="shared" si="32"/>
        <v>7.0990794860266456E-5</v>
      </c>
      <c r="S50" s="1"/>
      <c r="T50" s="1">
        <f>SUM(OSRRefT22_7x_0)</f>
        <v>0</v>
      </c>
      <c r="U50" s="1"/>
      <c r="V50" s="5">
        <f t="shared" si="33"/>
        <v>0</v>
      </c>
      <c r="W50" s="1"/>
      <c r="X50" s="1">
        <f t="shared" si="34"/>
        <v>14.49</v>
      </c>
      <c r="Y50" s="1"/>
      <c r="Z50" s="5">
        <f t="shared" si="35"/>
        <v>0</v>
      </c>
    </row>
    <row r="51" spans="1:26" s="24" customFormat="1" hidden="1" outlineLevel="2" x14ac:dyDescent="0.25">
      <c r="A51" s="28"/>
      <c r="B51" s="11" t="str">
        <f>CONCATENATE("          ", "6277", " - ", "EMPLOYEE APPRECIATION")</f>
        <v xml:space="preserve">          6277 - EMPLOYEE APPRECIATION</v>
      </c>
      <c r="C51" s="11"/>
      <c r="D51" s="7">
        <v>14.49</v>
      </c>
      <c r="E51" s="2"/>
      <c r="F51" s="6">
        <f t="shared" si="28"/>
        <v>8.9324138063678329E-5</v>
      </c>
      <c r="G51" s="2"/>
      <c r="H51" s="7"/>
      <c r="I51" s="2"/>
      <c r="J51" s="6">
        <f t="shared" si="29"/>
        <v>0</v>
      </c>
      <c r="K51" s="2"/>
      <c r="L51" s="7">
        <f t="shared" si="30"/>
        <v>14.49</v>
      </c>
      <c r="M51" s="2"/>
      <c r="N51" s="6">
        <f t="shared" si="31"/>
        <v>0</v>
      </c>
      <c r="O51" s="11"/>
      <c r="P51" s="7">
        <v>14.49</v>
      </c>
      <c r="Q51" s="2"/>
      <c r="R51" s="6">
        <f t="shared" si="32"/>
        <v>7.0990794860266456E-5</v>
      </c>
      <c r="S51" s="2"/>
      <c r="T51" s="7"/>
      <c r="U51" s="2"/>
      <c r="V51" s="6">
        <f t="shared" si="33"/>
        <v>0</v>
      </c>
      <c r="W51" s="2"/>
      <c r="X51" s="7">
        <f t="shared" si="34"/>
        <v>14.49</v>
      </c>
      <c r="Y51" s="2"/>
      <c r="Z51" s="6">
        <f t="shared" si="35"/>
        <v>0</v>
      </c>
    </row>
    <row r="52" spans="1:26" s="27" customFormat="1" outlineLevel="1" collapsed="1" x14ac:dyDescent="0.25">
      <c r="A52" s="29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SUM(OSRRefD22_8x_0)</f>
        <v>0</v>
      </c>
      <c r="E52" s="1"/>
      <c r="F52" s="5">
        <f t="shared" si="28"/>
        <v>0</v>
      </c>
      <c r="G52" s="1"/>
      <c r="H52" s="1">
        <f>SUM(OSRRefH22_8x_0)</f>
        <v>0</v>
      </c>
      <c r="I52" s="1"/>
      <c r="J52" s="5">
        <f t="shared" si="29"/>
        <v>0</v>
      </c>
      <c r="K52" s="1"/>
      <c r="L52" s="1">
        <f t="shared" si="30"/>
        <v>0</v>
      </c>
      <c r="M52" s="1"/>
      <c r="N52" s="5">
        <f t="shared" si="31"/>
        <v>0</v>
      </c>
      <c r="O52" s="14"/>
      <c r="P52" s="1">
        <f>SUM(OSRRefP22_8x_0)</f>
        <v>0</v>
      </c>
      <c r="Q52" s="1"/>
      <c r="R52" s="5">
        <f t="shared" si="32"/>
        <v>0</v>
      </c>
      <c r="S52" s="1"/>
      <c r="T52" s="1">
        <f>SUM(OSRRefT22_8x_0)</f>
        <v>20</v>
      </c>
      <c r="U52" s="1"/>
      <c r="V52" s="5">
        <f t="shared" si="33"/>
        <v>1.5942441409535016E-3</v>
      </c>
      <c r="W52" s="1"/>
      <c r="X52" s="1">
        <f t="shared" si="34"/>
        <v>-20</v>
      </c>
      <c r="Y52" s="1"/>
      <c r="Z52" s="5">
        <f t="shared" si="35"/>
        <v>-1</v>
      </c>
    </row>
    <row r="53" spans="1:26" s="24" customFormat="1" hidden="1" outlineLevel="2" x14ac:dyDescent="0.25">
      <c r="A53" s="28"/>
      <c r="B53" s="11" t="str">
        <f>CONCATENATE("          ", "6351", " - ", "EQUIPMENT RENTAL")</f>
        <v xml:space="preserve">          6351 - EQUIPMENT RENTAL</v>
      </c>
      <c r="C53" s="11"/>
      <c r="D53" s="7"/>
      <c r="E53" s="2"/>
      <c r="F53" s="6">
        <f t="shared" si="28"/>
        <v>0</v>
      </c>
      <c r="G53" s="2"/>
      <c r="H53" s="7"/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/>
      <c r="Q53" s="2"/>
      <c r="R53" s="6">
        <f t="shared" si="32"/>
        <v>0</v>
      </c>
      <c r="S53" s="2"/>
      <c r="T53" s="7">
        <v>20</v>
      </c>
      <c r="U53" s="2"/>
      <c r="V53" s="6">
        <f t="shared" si="33"/>
        <v>1.5942441409535016E-3</v>
      </c>
      <c r="W53" s="2"/>
      <c r="X53" s="7">
        <f t="shared" si="34"/>
        <v>-20</v>
      </c>
      <c r="Y53" s="2"/>
      <c r="Z53" s="6">
        <f t="shared" si="35"/>
        <v>-1</v>
      </c>
    </row>
    <row r="54" spans="1:26" s="27" customFormat="1" outlineLevel="1" collapsed="1" x14ac:dyDescent="0.25">
      <c r="A54" s="29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SUM(OSRRefD22_9x_0)</f>
        <v>0</v>
      </c>
      <c r="E54" s="1"/>
      <c r="F54" s="5">
        <f t="shared" si="28"/>
        <v>0</v>
      </c>
      <c r="G54" s="1"/>
      <c r="H54" s="1">
        <f>SUM(OSRRefH22_9x_0)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4"/>
      <c r="P54" s="1">
        <f>SUM(OSRRefP22_9x_0)</f>
        <v>1469.55</v>
      </c>
      <c r="Q54" s="1"/>
      <c r="R54" s="5">
        <f t="shared" si="32"/>
        <v>7.1997600128988664E-3</v>
      </c>
      <c r="S54" s="1"/>
      <c r="T54" s="1">
        <f>SUM(OSRRefT22_9x_0)</f>
        <v>1439.55</v>
      </c>
      <c r="U54" s="1"/>
      <c r="V54" s="5">
        <f t="shared" si="33"/>
        <v>0.11474970765548066</v>
      </c>
      <c r="W54" s="1"/>
      <c r="X54" s="1">
        <f t="shared" si="34"/>
        <v>30</v>
      </c>
      <c r="Y54" s="1"/>
      <c r="Z54" s="5">
        <f t="shared" si="35"/>
        <v>2.0839845785141191E-2</v>
      </c>
    </row>
    <row r="55" spans="1:26" s="24" customFormat="1" hidden="1" outlineLevel="2" x14ac:dyDescent="0.25">
      <c r="A55" s="28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>
        <v>1469.55</v>
      </c>
      <c r="Q55" s="2"/>
      <c r="R55" s="6">
        <f t="shared" si="32"/>
        <v>7.1997600128988664E-3</v>
      </c>
      <c r="S55" s="2"/>
      <c r="T55" s="7">
        <v>1439.55</v>
      </c>
      <c r="U55" s="2"/>
      <c r="V55" s="6">
        <f t="shared" si="33"/>
        <v>0.11474970765548066</v>
      </c>
      <c r="W55" s="2"/>
      <c r="X55" s="7">
        <f t="shared" si="34"/>
        <v>30</v>
      </c>
      <c r="Y55" s="2"/>
      <c r="Z55" s="6">
        <f t="shared" si="35"/>
        <v>2.0839845785141191E-2</v>
      </c>
    </row>
    <row r="56" spans="1:26" s="27" customFormat="1" outlineLevel="1" collapsed="1" x14ac:dyDescent="0.25">
      <c r="A56" s="29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SUM(OSRRefD22_10x_0)</f>
        <v>5.21</v>
      </c>
      <c r="E56" s="1"/>
      <c r="F56" s="5">
        <f t="shared" si="28"/>
        <v>3.211723666747854E-5</v>
      </c>
      <c r="G56" s="1"/>
      <c r="H56" s="1">
        <f>SUM(OSRRefH22_10x_0)</f>
        <v>5.9</v>
      </c>
      <c r="I56" s="1"/>
      <c r="J56" s="5">
        <f t="shared" si="29"/>
        <v>4.7030202158128301E-4</v>
      </c>
      <c r="K56" s="1"/>
      <c r="L56" s="1">
        <f t="shared" si="30"/>
        <v>-0.69000000000000039</v>
      </c>
      <c r="M56" s="1"/>
      <c r="N56" s="5">
        <f t="shared" si="31"/>
        <v>-0.11694915254237294</v>
      </c>
      <c r="O56" s="14"/>
      <c r="P56" s="1">
        <f>SUM(OSRRefP22_10x_0)</f>
        <v>15.64</v>
      </c>
      <c r="Q56" s="1"/>
      <c r="R56" s="5">
        <f t="shared" si="32"/>
        <v>7.6624984928541575E-5</v>
      </c>
      <c r="S56" s="1"/>
      <c r="T56" s="1">
        <f>SUM(OSRRefT22_10x_0)</f>
        <v>17.7</v>
      </c>
      <c r="U56" s="1"/>
      <c r="V56" s="5">
        <f t="shared" si="33"/>
        <v>1.4109060647438489E-3</v>
      </c>
      <c r="W56" s="1"/>
      <c r="X56" s="1">
        <f t="shared" si="34"/>
        <v>-2.0599999999999987</v>
      </c>
      <c r="Y56" s="1"/>
      <c r="Z56" s="5">
        <f t="shared" si="35"/>
        <v>-0.11638418079096038</v>
      </c>
    </row>
    <row r="57" spans="1:26" s="24" customFormat="1" hidden="1" outlineLevel="2" x14ac:dyDescent="0.25">
      <c r="A57" s="28"/>
      <c r="B57" s="11" t="str">
        <f>CONCATENATE("          ", "6314", " - ", "LIABILITY INSURANCE")</f>
        <v xml:space="preserve">          6314 - LIABILITY INSURANCE</v>
      </c>
      <c r="C57" s="11"/>
      <c r="D57" s="7">
        <v>5.21</v>
      </c>
      <c r="E57" s="2"/>
      <c r="F57" s="6">
        <f t="shared" si="28"/>
        <v>3.211723666747854E-5</v>
      </c>
      <c r="G57" s="2"/>
      <c r="H57" s="7">
        <v>5.9</v>
      </c>
      <c r="I57" s="2"/>
      <c r="J57" s="6">
        <f t="shared" si="29"/>
        <v>4.7030202158128301E-4</v>
      </c>
      <c r="K57" s="2"/>
      <c r="L57" s="7">
        <f t="shared" si="30"/>
        <v>-0.69000000000000039</v>
      </c>
      <c r="M57" s="2"/>
      <c r="N57" s="6">
        <f t="shared" si="31"/>
        <v>-0.11694915254237294</v>
      </c>
      <c r="O57" s="11"/>
      <c r="P57" s="7">
        <v>15.64</v>
      </c>
      <c r="Q57" s="2"/>
      <c r="R57" s="6">
        <f t="shared" si="32"/>
        <v>7.6624984928541575E-5</v>
      </c>
      <c r="S57" s="2"/>
      <c r="T57" s="7">
        <v>17.7</v>
      </c>
      <c r="U57" s="2"/>
      <c r="V57" s="6">
        <f t="shared" si="33"/>
        <v>1.4109060647438489E-3</v>
      </c>
      <c r="W57" s="2"/>
      <c r="X57" s="7">
        <f t="shared" si="34"/>
        <v>-2.0599999999999987</v>
      </c>
      <c r="Y57" s="2"/>
      <c r="Z57" s="6">
        <f t="shared" si="35"/>
        <v>-0.11638418079096038</v>
      </c>
    </row>
    <row r="58" spans="1:26" s="27" customFormat="1" outlineLevel="1" collapsed="1" x14ac:dyDescent="0.25">
      <c r="A58" s="29"/>
      <c r="B58" s="14" t="str">
        <f>CONCATENATE("     ","R/H Commissions                                   ")</f>
        <v xml:space="preserve">     R/H Commissions                                   </v>
      </c>
      <c r="C58" s="14"/>
      <c r="D58" s="1">
        <f>SUM(OSRRefD22_11x_0)</f>
        <v>9259.68</v>
      </c>
      <c r="E58" s="1"/>
      <c r="F58" s="5">
        <f t="shared" si="28"/>
        <v>5.7081638008659827E-2</v>
      </c>
      <c r="G58" s="1"/>
      <c r="H58" s="1">
        <f>SUM(OSRRefH22_11x_0)</f>
        <v>0</v>
      </c>
      <c r="I58" s="1"/>
      <c r="J58" s="5">
        <f t="shared" si="29"/>
        <v>0</v>
      </c>
      <c r="K58" s="1"/>
      <c r="L58" s="1">
        <f t="shared" si="30"/>
        <v>9259.68</v>
      </c>
      <c r="M58" s="1"/>
      <c r="N58" s="5">
        <f t="shared" si="31"/>
        <v>0</v>
      </c>
      <c r="O58" s="14"/>
      <c r="P58" s="1">
        <f>SUM(OSRRefP22_11x_0)</f>
        <v>12558.12</v>
      </c>
      <c r="Q58" s="1"/>
      <c r="R58" s="5">
        <f t="shared" si="32"/>
        <v>6.1525943461049656E-2</v>
      </c>
      <c r="S58" s="1"/>
      <c r="T58" s="1">
        <f>SUM(OSRRefT22_11x_0)</f>
        <v>0</v>
      </c>
      <c r="U58" s="1"/>
      <c r="V58" s="5">
        <f t="shared" si="33"/>
        <v>0</v>
      </c>
      <c r="W58" s="1"/>
      <c r="X58" s="1">
        <f t="shared" si="34"/>
        <v>12558.12</v>
      </c>
      <c r="Y58" s="1"/>
      <c r="Z58" s="5">
        <f t="shared" si="35"/>
        <v>0</v>
      </c>
    </row>
    <row r="59" spans="1:26" s="24" customFormat="1" hidden="1" outlineLevel="2" x14ac:dyDescent="0.25">
      <c r="A59" s="28"/>
      <c r="B59" s="11" t="str">
        <f>CONCATENATE("          ", "6387", " - ", "COMMISSION DUE HOUSING")</f>
        <v xml:space="preserve">          6387 - COMMISSION DUE HOUSING</v>
      </c>
      <c r="C59" s="11"/>
      <c r="D59" s="7">
        <v>9259.68</v>
      </c>
      <c r="E59" s="2"/>
      <c r="F59" s="6">
        <f t="shared" si="28"/>
        <v>5.7081638008659827E-2</v>
      </c>
      <c r="G59" s="2"/>
      <c r="H59" s="7"/>
      <c r="I59" s="2"/>
      <c r="J59" s="6">
        <f t="shared" si="29"/>
        <v>0</v>
      </c>
      <c r="K59" s="2"/>
      <c r="L59" s="7">
        <f t="shared" si="30"/>
        <v>9259.68</v>
      </c>
      <c r="M59" s="2"/>
      <c r="N59" s="6">
        <f t="shared" si="31"/>
        <v>0</v>
      </c>
      <c r="O59" s="11"/>
      <c r="P59" s="7">
        <v>12558.12</v>
      </c>
      <c r="Q59" s="2"/>
      <c r="R59" s="6">
        <f t="shared" si="32"/>
        <v>6.1525943461049656E-2</v>
      </c>
      <c r="S59" s="2"/>
      <c r="T59" s="7"/>
      <c r="U59" s="2"/>
      <c r="V59" s="6">
        <f t="shared" si="33"/>
        <v>0</v>
      </c>
      <c r="W59" s="2"/>
      <c r="X59" s="7">
        <f t="shared" si="34"/>
        <v>12558.12</v>
      </c>
      <c r="Y59" s="2"/>
      <c r="Z59" s="6">
        <f t="shared" si="35"/>
        <v>0</v>
      </c>
    </row>
    <row r="60" spans="1:26" s="27" customFormat="1" outlineLevel="1" collapsed="1" x14ac:dyDescent="0.25">
      <c r="A60" s="29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SUM(OSRRefD22_12x_0)</f>
        <v>71.86</v>
      </c>
      <c r="E60" s="1"/>
      <c r="F60" s="5">
        <f t="shared" si="28"/>
        <v>4.4298361361324527E-4</v>
      </c>
      <c r="G60" s="1"/>
      <c r="H60" s="1">
        <f>SUM(OSRRefH22_12x_0)</f>
        <v>72.349999999999994</v>
      </c>
      <c r="I60" s="1"/>
      <c r="J60" s="5">
        <f t="shared" si="29"/>
        <v>5.7671781798992912E-3</v>
      </c>
      <c r="K60" s="1"/>
      <c r="L60" s="1">
        <f t="shared" si="30"/>
        <v>-0.48999999999999488</v>
      </c>
      <c r="M60" s="1"/>
      <c r="N60" s="5">
        <f t="shared" si="31"/>
        <v>-6.7726330338630947E-3</v>
      </c>
      <c r="O60" s="14"/>
      <c r="P60" s="1">
        <f>SUM(OSRRefP22_12x_0)</f>
        <v>71.86</v>
      </c>
      <c r="Q60" s="1"/>
      <c r="R60" s="5">
        <f t="shared" si="32"/>
        <v>3.5206338983152162E-4</v>
      </c>
      <c r="S60" s="1"/>
      <c r="T60" s="1">
        <f>SUM(OSRRefT22_12x_0)</f>
        <v>72.349999999999994</v>
      </c>
      <c r="U60" s="1"/>
      <c r="V60" s="5">
        <f t="shared" si="33"/>
        <v>5.7671781798992912E-3</v>
      </c>
      <c r="W60" s="1"/>
      <c r="X60" s="1">
        <f t="shared" si="34"/>
        <v>-0.48999999999999488</v>
      </c>
      <c r="Y60" s="1"/>
      <c r="Z60" s="5">
        <f t="shared" si="35"/>
        <v>-6.7726330338630947E-3</v>
      </c>
    </row>
    <row r="61" spans="1:26" s="24" customFormat="1" hidden="1" outlineLevel="2" x14ac:dyDescent="0.25">
      <c r="A61" s="28"/>
      <c r="B61" s="11" t="str">
        <f>CONCATENATE("          ", "6373", " - ", "MAINTENANCE CONTRACTS")</f>
        <v xml:space="preserve">          6373 - MAINTENANCE CONTRACTS</v>
      </c>
      <c r="C61" s="11"/>
      <c r="D61" s="7">
        <v>71.86</v>
      </c>
      <c r="E61" s="2"/>
      <c r="F61" s="6">
        <f t="shared" si="28"/>
        <v>4.4298361361324527E-4</v>
      </c>
      <c r="G61" s="2"/>
      <c r="H61" s="7">
        <v>72.349999999999994</v>
      </c>
      <c r="I61" s="2"/>
      <c r="J61" s="6">
        <f t="shared" si="29"/>
        <v>5.7671781798992912E-3</v>
      </c>
      <c r="K61" s="2"/>
      <c r="L61" s="7">
        <f t="shared" si="30"/>
        <v>-0.48999999999999488</v>
      </c>
      <c r="M61" s="2"/>
      <c r="N61" s="6">
        <f t="shared" si="31"/>
        <v>-6.7726330338630947E-3</v>
      </c>
      <c r="O61" s="11"/>
      <c r="P61" s="7">
        <v>71.86</v>
      </c>
      <c r="Q61" s="2"/>
      <c r="R61" s="6">
        <f t="shared" si="32"/>
        <v>3.5206338983152162E-4</v>
      </c>
      <c r="S61" s="2"/>
      <c r="T61" s="7">
        <v>72.349999999999994</v>
      </c>
      <c r="U61" s="2"/>
      <c r="V61" s="6">
        <f t="shared" si="33"/>
        <v>5.7671781798992912E-3</v>
      </c>
      <c r="W61" s="2"/>
      <c r="X61" s="7">
        <f t="shared" si="34"/>
        <v>-0.48999999999999488</v>
      </c>
      <c r="Y61" s="2"/>
      <c r="Z61" s="6">
        <f t="shared" si="35"/>
        <v>-6.7726330338630947E-3</v>
      </c>
    </row>
    <row r="62" spans="1:26" s="27" customFormat="1" outlineLevel="1" collapsed="1" x14ac:dyDescent="0.25">
      <c r="A62" s="29"/>
      <c r="B62" s="14" t="str">
        <f>CONCATENATE("     ","Services                                          ")</f>
        <v xml:space="preserve">     Services                                          </v>
      </c>
      <c r="C62" s="14"/>
      <c r="D62" s="1">
        <f>SUM(OSRRefD22_13x_0)</f>
        <v>1659.9</v>
      </c>
      <c r="E62" s="1"/>
      <c r="F62" s="5">
        <f t="shared" si="28"/>
        <v>1.0232514615037934E-2</v>
      </c>
      <c r="G62" s="1"/>
      <c r="H62" s="1">
        <f>SUM(OSRRefH22_13x_0)</f>
        <v>0</v>
      </c>
      <c r="I62" s="1"/>
      <c r="J62" s="5">
        <f t="shared" si="29"/>
        <v>0</v>
      </c>
      <c r="K62" s="1"/>
      <c r="L62" s="1">
        <f t="shared" si="30"/>
        <v>1659.9</v>
      </c>
      <c r="M62" s="1"/>
      <c r="N62" s="5">
        <f t="shared" si="31"/>
        <v>0</v>
      </c>
      <c r="O62" s="14"/>
      <c r="P62" s="1">
        <f>SUM(OSRRefP22_13x_0)</f>
        <v>6222.4400000000005</v>
      </c>
      <c r="Q62" s="1"/>
      <c r="R62" s="5">
        <f t="shared" si="32"/>
        <v>3.0485573607337231E-2</v>
      </c>
      <c r="S62" s="1"/>
      <c r="T62" s="1">
        <f>SUM(OSRRefT22_13x_0)</f>
        <v>741.41</v>
      </c>
      <c r="U62" s="1"/>
      <c r="V62" s="5">
        <f t="shared" si="33"/>
        <v>5.9099427427216779E-2</v>
      </c>
      <c r="W62" s="1"/>
      <c r="X62" s="1">
        <f t="shared" si="34"/>
        <v>5481.0300000000007</v>
      </c>
      <c r="Y62" s="1"/>
      <c r="Z62" s="5">
        <f t="shared" si="35"/>
        <v>7.3927111854439529</v>
      </c>
    </row>
    <row r="63" spans="1:26" s="24" customFormat="1" hidden="1" outlineLevel="2" x14ac:dyDescent="0.25">
      <c r="A63" s="28"/>
      <c r="B63" s="11" t="str">
        <f>CONCATENATE("          ", "6282", " - ", "JANITORIAL/EXTERMINATOR EXPENS")</f>
        <v xml:space="preserve">          6282 - JANITORIAL/EXTERMINATOR EXPENS</v>
      </c>
      <c r="C63" s="11"/>
      <c r="D63" s="7">
        <v>1459.9</v>
      </c>
      <c r="E63" s="2"/>
      <c r="F63" s="6">
        <f t="shared" si="28"/>
        <v>8.9996072573612137E-3</v>
      </c>
      <c r="G63" s="2"/>
      <c r="H63" s="7"/>
      <c r="I63" s="2"/>
      <c r="J63" s="6">
        <f t="shared" si="29"/>
        <v>0</v>
      </c>
      <c r="K63" s="2"/>
      <c r="L63" s="7">
        <f t="shared" si="30"/>
        <v>1459.9</v>
      </c>
      <c r="M63" s="2"/>
      <c r="N63" s="6">
        <f t="shared" si="31"/>
        <v>0</v>
      </c>
      <c r="O63" s="11"/>
      <c r="P63" s="7">
        <v>2129.54</v>
      </c>
      <c r="Q63" s="2"/>
      <c r="R63" s="6">
        <f t="shared" si="32"/>
        <v>1.0433246189560513E-2</v>
      </c>
      <c r="S63" s="2"/>
      <c r="T63" s="7">
        <v>741.41</v>
      </c>
      <c r="U63" s="2"/>
      <c r="V63" s="6">
        <f t="shared" si="33"/>
        <v>5.9099427427216779E-2</v>
      </c>
      <c r="W63" s="2"/>
      <c r="X63" s="7">
        <f t="shared" si="34"/>
        <v>1388.13</v>
      </c>
      <c r="Y63" s="2"/>
      <c r="Z63" s="6">
        <f t="shared" si="35"/>
        <v>1.8722838915040263</v>
      </c>
    </row>
    <row r="64" spans="1:26" s="24" customFormat="1" hidden="1" outlineLevel="2" x14ac:dyDescent="0.25">
      <c r="A64" s="28"/>
      <c r="B64" s="11" t="str">
        <f>CONCATENATE("          ", "6285", " - ", "JANITORIAL SERVICES")</f>
        <v xml:space="preserve">          6285 - JANITORIAL SERVICES</v>
      </c>
      <c r="C64" s="11"/>
      <c r="D64" s="7">
        <v>200</v>
      </c>
      <c r="E64" s="2"/>
      <c r="F64" s="6">
        <f t="shared" si="28"/>
        <v>1.2329073576767195E-3</v>
      </c>
      <c r="G64" s="2"/>
      <c r="H64" s="7"/>
      <c r="I64" s="2"/>
      <c r="J64" s="6">
        <f t="shared" si="29"/>
        <v>0</v>
      </c>
      <c r="K64" s="2"/>
      <c r="L64" s="7">
        <f t="shared" si="30"/>
        <v>200</v>
      </c>
      <c r="M64" s="2"/>
      <c r="N64" s="6">
        <f t="shared" si="31"/>
        <v>0</v>
      </c>
      <c r="O64" s="11"/>
      <c r="P64" s="7">
        <v>4092.9</v>
      </c>
      <c r="Q64" s="2"/>
      <c r="R64" s="6">
        <f t="shared" si="32"/>
        <v>2.0052327417776714E-2</v>
      </c>
      <c r="S64" s="2"/>
      <c r="T64" s="7"/>
      <c r="U64" s="2"/>
      <c r="V64" s="6">
        <f t="shared" si="33"/>
        <v>0</v>
      </c>
      <c r="W64" s="2"/>
      <c r="X64" s="7">
        <f t="shared" si="34"/>
        <v>4092.9</v>
      </c>
      <c r="Y64" s="2"/>
      <c r="Z64" s="6">
        <f t="shared" si="35"/>
        <v>0</v>
      </c>
    </row>
    <row r="65" spans="1:26" s="27" customFormat="1" outlineLevel="1" collapsed="1" x14ac:dyDescent="0.25">
      <c r="A65" s="29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SUM(OSRRefD22_14x_0)</f>
        <v>17789.320000000003</v>
      </c>
      <c r="E65" s="1"/>
      <c r="F65" s="5">
        <f t="shared" ref="F65:F70" si="36">IF(D$12=0,0,D65/D$12)</f>
        <v>0.10966291758032812</v>
      </c>
      <c r="G65" s="1"/>
      <c r="H65" s="1">
        <f>SUM(OSRRefH22_14x_0)</f>
        <v>0</v>
      </c>
      <c r="I65" s="1"/>
      <c r="J65" s="5">
        <f t="shared" ref="J65:J70" si="37">IF(H$12=0,0,H65/H$12)</f>
        <v>0</v>
      </c>
      <c r="K65" s="1"/>
      <c r="L65" s="1">
        <f t="shared" ref="L65:L70" si="38">+D65-H65</f>
        <v>17789.320000000003</v>
      </c>
      <c r="M65" s="1"/>
      <c r="N65" s="5">
        <f t="shared" ref="N65:N70" si="39">IF(H65=0,0,L65/H65)</f>
        <v>0</v>
      </c>
      <c r="O65" s="14"/>
      <c r="P65" s="1">
        <f>SUM(OSRRefP22_14x_0)</f>
        <v>27437.970000000005</v>
      </c>
      <c r="Q65" s="1"/>
      <c r="R65" s="5">
        <f t="shared" ref="R65:R70" si="40">IF(P$12=0,0,P65/P$12)</f>
        <v>0.13442672875446141</v>
      </c>
      <c r="S65" s="1"/>
      <c r="T65" s="1">
        <f>SUM(OSRRefT22_14x_0)</f>
        <v>57.16</v>
      </c>
      <c r="U65" s="1"/>
      <c r="V65" s="5">
        <f t="shared" ref="V65:V70" si="41">IF(T$12=0,0,T65/T$12)</f>
        <v>4.5563497548451069E-3</v>
      </c>
      <c r="W65" s="1"/>
      <c r="X65" s="1">
        <f t="shared" ref="X65:X70" si="42">+P65-T65</f>
        <v>27380.810000000005</v>
      </c>
      <c r="Y65" s="1"/>
      <c r="Z65" s="5">
        <f t="shared" ref="Z65:Z70" si="43">IF(T65=0,0,X65/T65)</f>
        <v>479.02046885934232</v>
      </c>
    </row>
    <row r="66" spans="1:26" s="24" customFormat="1" hidden="1" outlineLevel="2" x14ac:dyDescent="0.25">
      <c r="A66" s="28"/>
      <c r="B66" s="11" t="str">
        <f>CONCATENATE("          ", "6237", " - ", "JANITORIAL SUPPLIES")</f>
        <v xml:space="preserve">          6237 - JANITORIAL SUPPLIES</v>
      </c>
      <c r="C66" s="11"/>
      <c r="D66" s="7">
        <v>3356.51</v>
      </c>
      <c r="E66" s="2"/>
      <c r="F66" s="6">
        <f t="shared" si="36"/>
        <v>2.0691329375577428E-2</v>
      </c>
      <c r="G66" s="2"/>
      <c r="H66" s="7"/>
      <c r="I66" s="2"/>
      <c r="J66" s="6">
        <f t="shared" si="37"/>
        <v>0</v>
      </c>
      <c r="K66" s="2"/>
      <c r="L66" s="7">
        <f t="shared" si="38"/>
        <v>3356.51</v>
      </c>
      <c r="M66" s="2"/>
      <c r="N66" s="6">
        <f t="shared" si="39"/>
        <v>0</v>
      </c>
      <c r="O66" s="11"/>
      <c r="P66" s="7">
        <v>4883.3100000000004</v>
      </c>
      <c r="Q66" s="2"/>
      <c r="R66" s="6">
        <f t="shared" si="40"/>
        <v>2.3924779741137877E-2</v>
      </c>
      <c r="S66" s="2"/>
      <c r="T66" s="7"/>
      <c r="U66" s="2"/>
      <c r="V66" s="6">
        <f t="shared" si="41"/>
        <v>0</v>
      </c>
      <c r="W66" s="2"/>
      <c r="X66" s="7">
        <f t="shared" si="42"/>
        <v>4883.3100000000004</v>
      </c>
      <c r="Y66" s="2"/>
      <c r="Z66" s="6">
        <f t="shared" si="43"/>
        <v>0</v>
      </c>
    </row>
    <row r="67" spans="1:26" s="24" customFormat="1" hidden="1" outlineLevel="2" x14ac:dyDescent="0.25">
      <c r="A67" s="28"/>
      <c r="B67" s="11" t="str">
        <f>CONCATENATE("          ", "6239", " - ", "KITCHEN SUPPLIES")</f>
        <v xml:space="preserve">          6239 - KITCHEN SUPPLIES</v>
      </c>
      <c r="C67" s="11"/>
      <c r="D67" s="7">
        <v>4469.83</v>
      </c>
      <c r="E67" s="2"/>
      <c r="F67" s="6">
        <f t="shared" si="36"/>
        <v>2.7554431472820655E-2</v>
      </c>
      <c r="G67" s="2"/>
      <c r="H67" s="7"/>
      <c r="I67" s="2"/>
      <c r="J67" s="6">
        <f t="shared" si="37"/>
        <v>0</v>
      </c>
      <c r="K67" s="2"/>
      <c r="L67" s="7">
        <f t="shared" si="38"/>
        <v>4469.83</v>
      </c>
      <c r="M67" s="2"/>
      <c r="N67" s="6">
        <f t="shared" si="39"/>
        <v>0</v>
      </c>
      <c r="O67" s="11"/>
      <c r="P67" s="7">
        <v>5903.66</v>
      </c>
      <c r="Q67" s="2"/>
      <c r="R67" s="6">
        <f t="shared" si="40"/>
        <v>2.8923776120411367E-2</v>
      </c>
      <c r="S67" s="2"/>
      <c r="T67" s="7"/>
      <c r="U67" s="2"/>
      <c r="V67" s="6">
        <f t="shared" si="41"/>
        <v>0</v>
      </c>
      <c r="W67" s="2"/>
      <c r="X67" s="7">
        <f t="shared" si="42"/>
        <v>5903.66</v>
      </c>
      <c r="Y67" s="2"/>
      <c r="Z67" s="6">
        <f t="shared" si="43"/>
        <v>0</v>
      </c>
    </row>
    <row r="68" spans="1:26" s="24" customFormat="1" hidden="1" outlineLevel="2" x14ac:dyDescent="0.25">
      <c r="A68" s="28"/>
      <c r="B68" s="11" t="str">
        <f>CONCATENATE("          ", "6241", " - ", "OFFICE EXPENSE")</f>
        <v xml:space="preserve">          6241 - OFFICE EXPENSE</v>
      </c>
      <c r="C68" s="11"/>
      <c r="D68" s="7">
        <v>1123.04</v>
      </c>
      <c r="E68" s="2"/>
      <c r="F68" s="6">
        <f t="shared" si="36"/>
        <v>6.9230213948263146E-3</v>
      </c>
      <c r="G68" s="2"/>
      <c r="H68" s="7"/>
      <c r="I68" s="2"/>
      <c r="J68" s="6">
        <f t="shared" si="37"/>
        <v>0</v>
      </c>
      <c r="K68" s="2"/>
      <c r="L68" s="7">
        <f t="shared" si="38"/>
        <v>1123.04</v>
      </c>
      <c r="M68" s="2"/>
      <c r="N68" s="6">
        <f t="shared" si="39"/>
        <v>0</v>
      </c>
      <c r="O68" s="11"/>
      <c r="P68" s="7">
        <v>2867.29</v>
      </c>
      <c r="Q68" s="2"/>
      <c r="R68" s="6">
        <f t="shared" si="40"/>
        <v>1.404770160075179E-2</v>
      </c>
      <c r="S68" s="2"/>
      <c r="T68" s="7">
        <v>57.16</v>
      </c>
      <c r="U68" s="2"/>
      <c r="V68" s="6">
        <f t="shared" si="41"/>
        <v>4.5563497548451069E-3</v>
      </c>
      <c r="W68" s="2"/>
      <c r="X68" s="7">
        <f t="shared" si="42"/>
        <v>2810.13</v>
      </c>
      <c r="Y68" s="2"/>
      <c r="Z68" s="6">
        <f t="shared" si="43"/>
        <v>49.162526242127363</v>
      </c>
    </row>
    <row r="69" spans="1:26" s="24" customFormat="1" hidden="1" outlineLevel="2" x14ac:dyDescent="0.25">
      <c r="A69" s="28"/>
      <c r="B69" s="11" t="str">
        <f>CONCATENATE("          ", "6243", " - ", "PAPER SUPPLIES")</f>
        <v xml:space="preserve">          6243 - PAPER SUPPLIES</v>
      </c>
      <c r="C69" s="11"/>
      <c r="D69" s="7">
        <v>8712.6</v>
      </c>
      <c r="E69" s="2"/>
      <c r="F69" s="6">
        <f t="shared" si="36"/>
        <v>5.3709143222470931E-2</v>
      </c>
      <c r="G69" s="2"/>
      <c r="H69" s="7"/>
      <c r="I69" s="2"/>
      <c r="J69" s="6">
        <f t="shared" si="37"/>
        <v>0</v>
      </c>
      <c r="K69" s="2"/>
      <c r="L69" s="7">
        <f t="shared" si="38"/>
        <v>8712.6</v>
      </c>
      <c r="M69" s="2"/>
      <c r="N69" s="6">
        <f t="shared" si="39"/>
        <v>0</v>
      </c>
      <c r="O69" s="11"/>
      <c r="P69" s="7">
        <v>13656.37</v>
      </c>
      <c r="Q69" s="2"/>
      <c r="R69" s="6">
        <f t="shared" si="40"/>
        <v>6.6906594976252398E-2</v>
      </c>
      <c r="S69" s="2"/>
      <c r="T69" s="7"/>
      <c r="U69" s="2"/>
      <c r="V69" s="6">
        <f t="shared" si="41"/>
        <v>0</v>
      </c>
      <c r="W69" s="2"/>
      <c r="X69" s="7">
        <f t="shared" si="42"/>
        <v>13656.37</v>
      </c>
      <c r="Y69" s="2"/>
      <c r="Z69" s="6">
        <f t="shared" si="43"/>
        <v>0</v>
      </c>
    </row>
    <row r="70" spans="1:26" s="24" customFormat="1" hidden="1" outlineLevel="2" x14ac:dyDescent="0.25">
      <c r="A70" s="28"/>
      <c r="B70" s="11" t="str">
        <f>CONCATENATE("          ", "6247", " - ", "STORE SUPPLIES")</f>
        <v xml:space="preserve">          6247 - STORE SUPPLIES</v>
      </c>
      <c r="C70" s="11"/>
      <c r="D70" s="7">
        <v>127.34</v>
      </c>
      <c r="E70" s="2"/>
      <c r="F70" s="6">
        <f t="shared" si="36"/>
        <v>7.8499211463276724E-4</v>
      </c>
      <c r="G70" s="2"/>
      <c r="H70" s="7"/>
      <c r="I70" s="2"/>
      <c r="J70" s="6">
        <f t="shared" si="37"/>
        <v>0</v>
      </c>
      <c r="K70" s="2"/>
      <c r="L70" s="7">
        <f t="shared" si="38"/>
        <v>127.34</v>
      </c>
      <c r="M70" s="2"/>
      <c r="N70" s="6">
        <f t="shared" si="39"/>
        <v>0</v>
      </c>
      <c r="O70" s="11"/>
      <c r="P70" s="7">
        <v>127.34</v>
      </c>
      <c r="Q70" s="2"/>
      <c r="R70" s="6">
        <f t="shared" si="40"/>
        <v>6.2387631590795939E-4</v>
      </c>
      <c r="S70" s="2"/>
      <c r="T70" s="7"/>
      <c r="U70" s="2"/>
      <c r="V70" s="6">
        <f t="shared" si="41"/>
        <v>0</v>
      </c>
      <c r="W70" s="2"/>
      <c r="X70" s="7">
        <f t="shared" si="42"/>
        <v>127.34</v>
      </c>
      <c r="Y70" s="2"/>
      <c r="Z70" s="6">
        <f t="shared" si="43"/>
        <v>0</v>
      </c>
    </row>
    <row r="71" spans="1:26" s="27" customFormat="1" outlineLevel="1" collapsed="1" x14ac:dyDescent="0.25">
      <c r="A71" s="29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SUM(OSRRefD22_15x_0)</f>
        <v>237.85</v>
      </c>
      <c r="E71" s="1"/>
      <c r="F71" s="5">
        <f t="shared" ref="F71:F74" si="44">IF(D$12=0,0,D71/D$12)</f>
        <v>1.4662350751170387E-3</v>
      </c>
      <c r="G71" s="1"/>
      <c r="H71" s="1">
        <f>SUM(OSRRefH22_15x_0)</f>
        <v>190</v>
      </c>
      <c r="I71" s="1"/>
      <c r="J71" s="5">
        <f t="shared" ref="J71:J74" si="45">IF(H$12=0,0,H71/H$12)</f>
        <v>1.5145319339058265E-2</v>
      </c>
      <c r="K71" s="1"/>
      <c r="L71" s="1">
        <f t="shared" ref="L71:L74" si="46">+D71-H71</f>
        <v>47.849999999999994</v>
      </c>
      <c r="M71" s="1"/>
      <c r="N71" s="5">
        <f t="shared" ref="N71:N74" si="47">IF(H71=0,0,L71/H71)</f>
        <v>0.25184210526315787</v>
      </c>
      <c r="O71" s="14"/>
      <c r="P71" s="1">
        <f>SUM(OSRRefP22_15x_0)</f>
        <v>372.85</v>
      </c>
      <c r="Q71" s="1"/>
      <c r="R71" s="5">
        <f t="shared" ref="R71:R74" si="48">IF(P$12=0,0,P71/P$12)</f>
        <v>1.8267024060490235E-3</v>
      </c>
      <c r="S71" s="1"/>
      <c r="T71" s="1">
        <f>SUM(OSRRefT22_15x_0)</f>
        <v>408</v>
      </c>
      <c r="U71" s="1"/>
      <c r="V71" s="5">
        <f t="shared" ref="V71:V74" si="49">IF(T$12=0,0,T71/T$12)</f>
        <v>3.2522580475451431E-2</v>
      </c>
      <c r="W71" s="1"/>
      <c r="X71" s="1">
        <f t="shared" ref="X71:X74" si="50">+P71-T71</f>
        <v>-35.149999999999977</v>
      </c>
      <c r="Y71" s="1"/>
      <c r="Z71" s="5">
        <f t="shared" ref="Z71:Z74" si="51">IF(T71=0,0,X71/T71)</f>
        <v>-8.6151960784313669E-2</v>
      </c>
    </row>
    <row r="72" spans="1:26" s="24" customFormat="1" hidden="1" outlineLevel="2" x14ac:dyDescent="0.25">
      <c r="A72" s="28"/>
      <c r="B72" s="11" t="str">
        <f>CONCATENATE("          ", "6309", " - ", "TELEPHONE")</f>
        <v xml:space="preserve">          6309 - TELEPHONE</v>
      </c>
      <c r="C72" s="11"/>
      <c r="D72" s="7">
        <v>237.85</v>
      </c>
      <c r="E72" s="2"/>
      <c r="F72" s="6">
        <f t="shared" si="44"/>
        <v>1.4662350751170387E-3</v>
      </c>
      <c r="G72" s="2"/>
      <c r="H72" s="7">
        <v>190</v>
      </c>
      <c r="I72" s="2"/>
      <c r="J72" s="6">
        <f t="shared" si="45"/>
        <v>1.5145319339058265E-2</v>
      </c>
      <c r="K72" s="2"/>
      <c r="L72" s="7">
        <f t="shared" si="46"/>
        <v>47.849999999999994</v>
      </c>
      <c r="M72" s="2"/>
      <c r="N72" s="6">
        <f t="shared" si="47"/>
        <v>0.25184210526315787</v>
      </c>
      <c r="O72" s="11"/>
      <c r="P72" s="7">
        <v>372.85</v>
      </c>
      <c r="Q72" s="2"/>
      <c r="R72" s="6">
        <f t="shared" si="48"/>
        <v>1.8267024060490235E-3</v>
      </c>
      <c r="S72" s="2"/>
      <c r="T72" s="7">
        <v>408</v>
      </c>
      <c r="U72" s="2"/>
      <c r="V72" s="6">
        <f t="shared" si="49"/>
        <v>3.2522580475451431E-2</v>
      </c>
      <c r="W72" s="2"/>
      <c r="X72" s="7">
        <f t="shared" si="50"/>
        <v>-35.149999999999977</v>
      </c>
      <c r="Y72" s="2"/>
      <c r="Z72" s="6">
        <f t="shared" si="51"/>
        <v>-8.6151960784313669E-2</v>
      </c>
    </row>
    <row r="73" spans="1:26" s="27" customFormat="1" outlineLevel="1" collapsed="1" x14ac:dyDescent="0.25">
      <c r="A73" s="29"/>
      <c r="B73" s="14" t="str">
        <f>CONCATENATE("     ","Travel                                            ")</f>
        <v xml:space="preserve">     Travel                                            </v>
      </c>
      <c r="C73" s="14"/>
      <c r="D73" s="1">
        <f>SUM(OSRRefD22_16x_0)</f>
        <v>104.02</v>
      </c>
      <c r="E73" s="1"/>
      <c r="F73" s="5">
        <f t="shared" si="44"/>
        <v>6.4123511672766181E-4</v>
      </c>
      <c r="G73" s="1"/>
      <c r="H73" s="1">
        <f>SUM(OSRRefH22_16x_0)</f>
        <v>0</v>
      </c>
      <c r="I73" s="1"/>
      <c r="J73" s="5">
        <f t="shared" si="45"/>
        <v>0</v>
      </c>
      <c r="K73" s="1"/>
      <c r="L73" s="1">
        <f t="shared" si="46"/>
        <v>104.02</v>
      </c>
      <c r="M73" s="1"/>
      <c r="N73" s="5">
        <f t="shared" si="47"/>
        <v>0</v>
      </c>
      <c r="O73" s="14"/>
      <c r="P73" s="1">
        <f>SUM(OSRRefP22_16x_0)</f>
        <v>104.02</v>
      </c>
      <c r="Q73" s="1"/>
      <c r="R73" s="5">
        <f t="shared" si="48"/>
        <v>5.0962473991476311E-4</v>
      </c>
      <c r="S73" s="1"/>
      <c r="T73" s="1">
        <f>SUM(OSRRefT22_16x_0)</f>
        <v>0</v>
      </c>
      <c r="U73" s="1"/>
      <c r="V73" s="5">
        <f t="shared" si="49"/>
        <v>0</v>
      </c>
      <c r="W73" s="1"/>
      <c r="X73" s="1">
        <f t="shared" si="50"/>
        <v>104.02</v>
      </c>
      <c r="Y73" s="1"/>
      <c r="Z73" s="5">
        <f t="shared" si="51"/>
        <v>0</v>
      </c>
    </row>
    <row r="74" spans="1:26" s="24" customFormat="1" hidden="1" outlineLevel="2" x14ac:dyDescent="0.25">
      <c r="A74" s="28"/>
      <c r="B74" s="11" t="str">
        <f>CONCATENATE("          ", "6298", " - ", "VEHICLE MILEAGE")</f>
        <v xml:space="preserve">          6298 - VEHICLE MILEAGE</v>
      </c>
      <c r="C74" s="11"/>
      <c r="D74" s="7">
        <v>104.02</v>
      </c>
      <c r="E74" s="2"/>
      <c r="F74" s="6">
        <f t="shared" si="44"/>
        <v>6.4123511672766181E-4</v>
      </c>
      <c r="G74" s="2"/>
      <c r="H74" s="7"/>
      <c r="I74" s="2"/>
      <c r="J74" s="6">
        <f t="shared" si="45"/>
        <v>0</v>
      </c>
      <c r="K74" s="2"/>
      <c r="L74" s="7">
        <f t="shared" si="46"/>
        <v>104.02</v>
      </c>
      <c r="M74" s="2"/>
      <c r="N74" s="6">
        <f t="shared" si="47"/>
        <v>0</v>
      </c>
      <c r="O74" s="11"/>
      <c r="P74" s="7">
        <v>104.02</v>
      </c>
      <c r="Q74" s="2"/>
      <c r="R74" s="6">
        <f t="shared" si="48"/>
        <v>5.0962473991476311E-4</v>
      </c>
      <c r="S74" s="2"/>
      <c r="T74" s="7"/>
      <c r="U74" s="2"/>
      <c r="V74" s="6">
        <f t="shared" si="49"/>
        <v>0</v>
      </c>
      <c r="W74" s="2"/>
      <c r="X74" s="7">
        <f t="shared" si="50"/>
        <v>104.02</v>
      </c>
      <c r="Y74" s="2"/>
      <c r="Z74" s="6">
        <f t="shared" si="51"/>
        <v>0</v>
      </c>
    </row>
    <row r="75" spans="1:26" s="54" customFormat="1" x14ac:dyDescent="0.25">
      <c r="A75" s="37"/>
      <c r="B75" s="37"/>
      <c r="C75" s="37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6" t="s">
        <v>292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5" t="s">
        <v>276</v>
      </c>
      <c r="C78" s="25"/>
      <c r="D78" s="21">
        <f>+D21-D23+D76</f>
        <v>-16068.310000000012</v>
      </c>
      <c r="E78" s="13"/>
      <c r="F78" s="22">
        <f>IF(D$12=0,0,D78/D$12)</f>
        <v>-9.9053688122152109E-2</v>
      </c>
      <c r="G78" s="13"/>
      <c r="H78" s="21">
        <f>+H21-H23+H76</f>
        <v>-28479.559999999998</v>
      </c>
      <c r="I78" s="13"/>
      <c r="J78" s="22">
        <f>IF(H$12=0,0,H78/H$12)</f>
        <v>-2.2701685833466851</v>
      </c>
      <c r="K78" s="16"/>
      <c r="L78" s="21">
        <f>+D78-H78</f>
        <v>12411.249999999985</v>
      </c>
      <c r="M78" s="16"/>
      <c r="N78" s="22">
        <f>IF(H78=0,0,L78/H78)</f>
        <v>-0.43579500525991227</v>
      </c>
      <c r="O78" s="26"/>
      <c r="P78" s="21">
        <f>+P21-P23+P76</f>
        <v>-121349.15999999999</v>
      </c>
      <c r="Q78" s="13"/>
      <c r="R78" s="22">
        <f>IF(P$12=0,0,P78/P$12)</f>
        <v>-0.59452541918741553</v>
      </c>
      <c r="S78" s="13"/>
      <c r="T78" s="21">
        <f>+T21-T23+T76</f>
        <v>-107101.48</v>
      </c>
      <c r="U78" s="13"/>
      <c r="V78" s="22">
        <f>IF(T$12=0,0,T78/T$12)</f>
        <v>-8.5372953488724317</v>
      </c>
      <c r="W78" s="16"/>
      <c r="X78" s="21">
        <f>+P78-T78</f>
        <v>-14247.679999999993</v>
      </c>
      <c r="Y78" s="16"/>
      <c r="Z78" s="22">
        <f>IF(T78=0,0,X78/T78)</f>
        <v>0.13302972097117607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1"/>
      <c r="B80" s="10" t="s">
        <v>127</v>
      </c>
      <c r="C80" s="10"/>
      <c r="D80" s="4">
        <v>19003.79</v>
      </c>
      <c r="E80" s="4"/>
      <c r="F80" s="12">
        <f>IF(D$12=0,0,D80/D$12)</f>
        <v>0.11714956257371632</v>
      </c>
      <c r="G80" s="4"/>
      <c r="H80" s="4">
        <v>2324.04</v>
      </c>
      <c r="I80" s="4"/>
      <c r="J80" s="12">
        <f>IF(H$12=0,0,H80/H$12)</f>
        <v>0.18525435766707879</v>
      </c>
      <c r="K80" s="4"/>
      <c r="L80" s="4">
        <f>+D80-H80</f>
        <v>16679.75</v>
      </c>
      <c r="M80" s="4"/>
      <c r="N80" s="12">
        <f>IF(H80=0,0,L80/H80)</f>
        <v>7.1770494483743823</v>
      </c>
      <c r="O80" s="10"/>
      <c r="P80" s="4">
        <v>25263.96</v>
      </c>
      <c r="Q80" s="4"/>
      <c r="R80" s="12">
        <f>IF(P$12=0,0,P80/P$12)</f>
        <v>0.12377561088460852</v>
      </c>
      <c r="S80" s="4"/>
      <c r="T80" s="4">
        <v>2324.04</v>
      </c>
      <c r="U80" s="4"/>
      <c r="V80" s="12">
        <f>IF(T$12=0,0,T80/T$12)</f>
        <v>0.18525435766707879</v>
      </c>
      <c r="W80" s="4"/>
      <c r="X80" s="4">
        <f>+P80-T80</f>
        <v>22939.919999999998</v>
      </c>
      <c r="Y80" s="4"/>
      <c r="Z80" s="12">
        <f>IF(T80=0,0,X80/T80)</f>
        <v>9.8707079051995663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125</v>
      </c>
      <c r="C82" s="25"/>
      <c r="D82" s="33">
        <f>+D78-D80</f>
        <v>-35072.100000000013</v>
      </c>
      <c r="E82" s="13"/>
      <c r="F82" s="35">
        <f>IF(D$12=0,0,D82/D$12)</f>
        <v>-0.21620325069586843</v>
      </c>
      <c r="G82" s="13"/>
      <c r="H82" s="33">
        <f>+H78-H80</f>
        <v>-30803.599999999999</v>
      </c>
      <c r="I82" s="13"/>
      <c r="J82" s="35">
        <f>IF(H$12=0,0,H82/H$12)</f>
        <v>-2.4554229410137638</v>
      </c>
      <c r="K82" s="16"/>
      <c r="L82" s="33">
        <f>D82-H82</f>
        <v>-4268.5000000000146</v>
      </c>
      <c r="M82" s="16"/>
      <c r="N82" s="35">
        <f>IF(H82=0,0,L82/H82)</f>
        <v>0.13857146567284392</v>
      </c>
      <c r="O82" s="26"/>
      <c r="P82" s="33">
        <f>+P78-P80</f>
        <v>-146613.12</v>
      </c>
      <c r="Q82" s="13"/>
      <c r="R82" s="35">
        <f>IF(P$12=0,0,P82/P$12)</f>
        <v>-0.71830103007202417</v>
      </c>
      <c r="S82" s="13"/>
      <c r="T82" s="33">
        <f>+T78-T80</f>
        <v>-109425.51999999999</v>
      </c>
      <c r="U82" s="13"/>
      <c r="V82" s="35">
        <f>IF(T$12=0,0,T82/T$12)</f>
        <v>-8.7225497065395103</v>
      </c>
      <c r="W82" s="16"/>
      <c r="X82" s="33">
        <f>P82-T82</f>
        <v>-37187.600000000006</v>
      </c>
      <c r="Y82" s="16"/>
      <c r="Z82" s="35">
        <f>IF(T82=0,0,X82/T82)</f>
        <v>0.33984394134019202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5" t="s">
        <v>293</v>
      </c>
      <c r="C85" s="25"/>
      <c r="D85" s="31">
        <f>SUM(D82:D84)</f>
        <v>-35072.100000000013</v>
      </c>
      <c r="E85" s="13"/>
      <c r="F85" s="32">
        <f>IF(D$12=0,0,D85/D$12)</f>
        <v>-0.21620325069586843</v>
      </c>
      <c r="G85" s="13"/>
      <c r="H85" s="31">
        <f>SUM(H82:H84)</f>
        <v>-30803.599999999999</v>
      </c>
      <c r="I85" s="13"/>
      <c r="J85" s="32">
        <f>IF(H$12=0,0,H85/H$12)</f>
        <v>-2.4554229410137638</v>
      </c>
      <c r="K85" s="16"/>
      <c r="L85" s="31">
        <f>+D85-H85</f>
        <v>-4268.5000000000146</v>
      </c>
      <c r="M85" s="16"/>
      <c r="N85" s="32">
        <f>IF(H85=0,0,L85/H85)</f>
        <v>0.13857146567284392</v>
      </c>
      <c r="O85" s="26"/>
      <c r="P85" s="31">
        <f>SUM(P82:P84)</f>
        <v>-146613.12</v>
      </c>
      <c r="Q85" s="13"/>
      <c r="R85" s="32">
        <f>IF(P$12=0,0,P85/P$12)</f>
        <v>-0.71830103007202417</v>
      </c>
      <c r="S85" s="13"/>
      <c r="T85" s="31">
        <f>SUM(T82:T84)</f>
        <v>-109425.51999999999</v>
      </c>
      <c r="U85" s="13"/>
      <c r="V85" s="32">
        <f>IF(T$12=0,0,T85/T$12)</f>
        <v>-8.7225497065395103</v>
      </c>
      <c r="W85" s="16"/>
      <c r="X85" s="31">
        <f>+P85-T85</f>
        <v>-37187.600000000006</v>
      </c>
      <c r="Y85" s="16"/>
      <c r="Z85" s="32">
        <f>IF(T85=0,0,X85/T85)</f>
        <v>0.33984394134019202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8">
        <v>44481.985668518515</v>
      </c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3" t="s">
        <v>56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2"/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</sheetPr>
  <dimension ref="A2:Z7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104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17418</v>
      </c>
      <c r="E12" s="4"/>
      <c r="F12" s="12"/>
      <c r="G12" s="4"/>
      <c r="H12" s="4">
        <f>SUM(OSRRefH13x_0)</f>
        <v>30210</v>
      </c>
      <c r="I12" s="4"/>
      <c r="J12" s="12"/>
      <c r="K12" s="4"/>
      <c r="L12" s="4">
        <f t="shared" ref="L12:L13" si="0">+D12-H12</f>
        <v>-12792</v>
      </c>
      <c r="M12" s="4"/>
      <c r="N12" s="12">
        <f t="shared" ref="N12:N13" si="1">IF(H12=0,0,L12/H12)</f>
        <v>-0.42343594836146969</v>
      </c>
      <c r="O12" s="10"/>
      <c r="P12" s="4">
        <f>SUM(OSRRefP13x_0)</f>
        <v>253270</v>
      </c>
      <c r="Q12" s="4"/>
      <c r="R12" s="12"/>
      <c r="S12" s="4"/>
      <c r="T12" s="4">
        <f>SUM(OSRRefT13x_0)</f>
        <v>118042</v>
      </c>
      <c r="U12" s="4"/>
      <c r="V12" s="12"/>
      <c r="W12" s="4"/>
      <c r="X12" s="4">
        <f t="shared" ref="X12:X13" si="2">+P12-T12</f>
        <v>135228</v>
      </c>
      <c r="Y12" s="4"/>
      <c r="Z12" s="12">
        <f t="shared" ref="Z12:Z13" si="3">IF(T12=0,0,X12/T12)</f>
        <v>1.1455922468274005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--17418</f>
        <v>17418</v>
      </c>
      <c r="E13" s="2"/>
      <c r="F13" s="19"/>
      <c r="G13" s="2"/>
      <c r="H13" s="2">
        <f>--30210</f>
        <v>30210</v>
      </c>
      <c r="I13" s="2"/>
      <c r="J13" s="19"/>
      <c r="K13" s="2"/>
      <c r="L13" s="2">
        <f t="shared" si="0"/>
        <v>-12792</v>
      </c>
      <c r="M13" s="2"/>
      <c r="N13" s="19">
        <f t="shared" si="1"/>
        <v>-0.42343594836146969</v>
      </c>
      <c r="O13" s="11"/>
      <c r="P13" s="2">
        <f>--253270</f>
        <v>253270</v>
      </c>
      <c r="Q13" s="2"/>
      <c r="R13" s="19"/>
      <c r="S13" s="2"/>
      <c r="T13" s="2">
        <f>--118042</f>
        <v>118042</v>
      </c>
      <c r="U13" s="2"/>
      <c r="V13" s="19"/>
      <c r="W13" s="2"/>
      <c r="X13" s="2">
        <f t="shared" si="2"/>
        <v>135228</v>
      </c>
      <c r="Y13" s="2"/>
      <c r="Z13" s="19">
        <f t="shared" si="3"/>
        <v>1.1455922468274005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107</v>
      </c>
      <c r="C17" s="25"/>
      <c r="D17" s="21">
        <f>D12-D15</f>
        <v>17418</v>
      </c>
      <c r="E17" s="13"/>
      <c r="F17" s="22">
        <f>IF(D$12=0,0,D17/D$12)</f>
        <v>1</v>
      </c>
      <c r="G17" s="13"/>
      <c r="H17" s="21">
        <f>H12-H15</f>
        <v>30210</v>
      </c>
      <c r="I17" s="13"/>
      <c r="J17" s="22">
        <f>IF(H$12=0,0,H17/H$12)</f>
        <v>1</v>
      </c>
      <c r="K17" s="16"/>
      <c r="L17" s="21">
        <f>+D17-H17</f>
        <v>-12792</v>
      </c>
      <c r="M17" s="16"/>
      <c r="N17" s="22">
        <f>IF(H17=0,0,L17/H17)</f>
        <v>-0.42343594836146969</v>
      </c>
      <c r="O17" s="26"/>
      <c r="P17" s="21">
        <f>P12-P15</f>
        <v>253270</v>
      </c>
      <c r="Q17" s="13"/>
      <c r="R17" s="22">
        <f>IF(P$12=0,0,P17/P$12)</f>
        <v>1</v>
      </c>
      <c r="S17" s="13"/>
      <c r="T17" s="21">
        <f>T12-T15</f>
        <v>118042</v>
      </c>
      <c r="U17" s="13"/>
      <c r="V17" s="22">
        <f>IF(T$12=0,0,T17/T$12)</f>
        <v>1</v>
      </c>
      <c r="W17" s="16"/>
      <c r="X17" s="21">
        <f>+P17-T17</f>
        <v>135228</v>
      </c>
      <c r="Y17" s="16"/>
      <c r="Z17" s="22">
        <f>IF(T17=0,0,X17/T17)</f>
        <v>1.1455922468274005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294</v>
      </c>
      <c r="C19" s="10"/>
      <c r="D19" s="20">
        <f>SUM(OSRRefD22x_0)</f>
        <v>18581.89</v>
      </c>
      <c r="E19" s="20"/>
      <c r="F19" s="30">
        <f t="shared" ref="F19:F28" si="4">IF(D$12=0,0,D19/D$12)</f>
        <v>1.0668211046044322</v>
      </c>
      <c r="G19" s="20"/>
      <c r="H19" s="20">
        <f>SUM(OSRRefH22x_0)</f>
        <v>25727.17</v>
      </c>
      <c r="I19" s="20"/>
      <c r="J19" s="30">
        <f t="shared" ref="J19:J28" si="5">IF(H$12=0,0,H19/H$12)</f>
        <v>0.85161105594174114</v>
      </c>
      <c r="K19" s="4"/>
      <c r="L19" s="20">
        <f t="shared" ref="L19:L28" si="6">+D19-H19</f>
        <v>-7145.2799999999988</v>
      </c>
      <c r="M19" s="4"/>
      <c r="N19" s="30">
        <f t="shared" ref="N19:N28" si="7">IF(H19=0,0,L19/H19)</f>
        <v>-0.27773284041734864</v>
      </c>
      <c r="O19" s="10"/>
      <c r="P19" s="20">
        <f>SUM(OSRRefP22x_0)</f>
        <v>188706.79</v>
      </c>
      <c r="Q19" s="20"/>
      <c r="R19" s="30">
        <f t="shared" ref="R19:R28" si="8">IF(P$12=0,0,P19/P$12)</f>
        <v>0.74508149405772495</v>
      </c>
      <c r="S19" s="20"/>
      <c r="T19" s="20">
        <f>SUM(OSRRefT22x_0)</f>
        <v>103962.99</v>
      </c>
      <c r="U19" s="20"/>
      <c r="V19" s="30">
        <f t="shared" ref="V19:V28" si="9">IF(T$12=0,0,T19/T$12)</f>
        <v>0.88072880839023404</v>
      </c>
      <c r="W19" s="4"/>
      <c r="X19" s="20">
        <f t="shared" ref="X19:X28" si="10">+P19-T19</f>
        <v>84743.8</v>
      </c>
      <c r="Y19" s="4"/>
      <c r="Z19" s="30">
        <f t="shared" ref="Z19:Z28" si="11">IF(T19=0,0,X19/T19)</f>
        <v>0.81513430885356408</v>
      </c>
    </row>
    <row r="20" spans="1:26" s="27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3562.0199999999995</v>
      </c>
      <c r="E20" s="1"/>
      <c r="F20" s="5">
        <f t="shared" si="4"/>
        <v>0.20450223906303822</v>
      </c>
      <c r="G20" s="1"/>
      <c r="H20" s="1">
        <f>SUM(OSRRefH22_0x_0)</f>
        <v>3893.62</v>
      </c>
      <c r="I20" s="1"/>
      <c r="J20" s="5">
        <f t="shared" si="5"/>
        <v>0.12888513737173121</v>
      </c>
      <c r="K20" s="1"/>
      <c r="L20" s="1">
        <f t="shared" si="6"/>
        <v>-331.60000000000036</v>
      </c>
      <c r="M20" s="1"/>
      <c r="N20" s="5">
        <f t="shared" si="7"/>
        <v>-8.5164962168881503E-2</v>
      </c>
      <c r="O20" s="14"/>
      <c r="P20" s="1">
        <f>SUM(OSRRefP22_0x_0)</f>
        <v>11228.220000000001</v>
      </c>
      <c r="Q20" s="1"/>
      <c r="R20" s="5">
        <f t="shared" si="8"/>
        <v>4.4333004303707513E-2</v>
      </c>
      <c r="S20" s="1"/>
      <c r="T20" s="1">
        <f>SUM(OSRRefT22_0x_0)</f>
        <v>12176.65</v>
      </c>
      <c r="U20" s="1"/>
      <c r="V20" s="5">
        <f t="shared" si="9"/>
        <v>0.10315523288321106</v>
      </c>
      <c r="W20" s="1"/>
      <c r="X20" s="1">
        <f t="shared" si="10"/>
        <v>-948.42999999999847</v>
      </c>
      <c r="Y20" s="1"/>
      <c r="Z20" s="5">
        <f t="shared" si="11"/>
        <v>-7.788923883005576E-2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7">
        <v>1050.3699999999999</v>
      </c>
      <c r="E21" s="2"/>
      <c r="F21" s="6">
        <f t="shared" si="4"/>
        <v>6.0303708806981278E-2</v>
      </c>
      <c r="G21" s="2"/>
      <c r="H21" s="7">
        <v>977.97</v>
      </c>
      <c r="I21" s="2"/>
      <c r="J21" s="6">
        <f t="shared" si="5"/>
        <v>3.2372393247269114E-2</v>
      </c>
      <c r="K21" s="2"/>
      <c r="L21" s="7">
        <f t="shared" si="6"/>
        <v>72.399999999999864</v>
      </c>
      <c r="M21" s="2"/>
      <c r="N21" s="6">
        <f t="shared" si="7"/>
        <v>7.403090074337644E-2</v>
      </c>
      <c r="O21" s="11"/>
      <c r="P21" s="7">
        <v>3453.44</v>
      </c>
      <c r="Q21" s="2"/>
      <c r="R21" s="6">
        <f t="shared" si="8"/>
        <v>1.3635408852213054E-2</v>
      </c>
      <c r="S21" s="2"/>
      <c r="T21" s="7">
        <v>3146.26</v>
      </c>
      <c r="U21" s="2"/>
      <c r="V21" s="6">
        <f t="shared" si="9"/>
        <v>2.6653733416919404E-2</v>
      </c>
      <c r="W21" s="2"/>
      <c r="X21" s="7">
        <f t="shared" si="10"/>
        <v>307.17999999999984</v>
      </c>
      <c r="Y21" s="2"/>
      <c r="Z21" s="6">
        <f t="shared" si="11"/>
        <v>9.7633380585202684E-2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7">
        <v>158.59</v>
      </c>
      <c r="E22" s="2"/>
      <c r="F22" s="6">
        <f t="shared" si="4"/>
        <v>9.1049489034332309E-3</v>
      </c>
      <c r="G22" s="2"/>
      <c r="H22" s="7">
        <v>82.4</v>
      </c>
      <c r="I22" s="2"/>
      <c r="J22" s="6">
        <f t="shared" si="5"/>
        <v>2.7275736511089047E-3</v>
      </c>
      <c r="K22" s="2"/>
      <c r="L22" s="7">
        <f t="shared" si="6"/>
        <v>76.19</v>
      </c>
      <c r="M22" s="2"/>
      <c r="N22" s="6">
        <f t="shared" si="7"/>
        <v>0.92463592233009695</v>
      </c>
      <c r="O22" s="11"/>
      <c r="P22" s="7">
        <v>496.73</v>
      </c>
      <c r="Q22" s="2"/>
      <c r="R22" s="6">
        <f t="shared" si="8"/>
        <v>1.9612666324475858E-3</v>
      </c>
      <c r="S22" s="2"/>
      <c r="T22" s="7">
        <v>244.49</v>
      </c>
      <c r="U22" s="2"/>
      <c r="V22" s="6">
        <f t="shared" si="9"/>
        <v>2.0712119415123432E-3</v>
      </c>
      <c r="W22" s="2"/>
      <c r="X22" s="7">
        <f t="shared" si="10"/>
        <v>252.24</v>
      </c>
      <c r="Y22" s="2"/>
      <c r="Z22" s="6">
        <f t="shared" si="11"/>
        <v>1.0316986379811035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7">
        <v>1054.3499999999999</v>
      </c>
      <c r="E23" s="2"/>
      <c r="F23" s="6">
        <f t="shared" si="4"/>
        <v>6.0532208060626931E-2</v>
      </c>
      <c r="G23" s="2"/>
      <c r="H23" s="7">
        <v>1250.75</v>
      </c>
      <c r="I23" s="2"/>
      <c r="J23" s="6">
        <f t="shared" si="5"/>
        <v>4.1401853690830853E-2</v>
      </c>
      <c r="K23" s="2"/>
      <c r="L23" s="7">
        <f t="shared" si="6"/>
        <v>-196.40000000000009</v>
      </c>
      <c r="M23" s="2"/>
      <c r="N23" s="6">
        <f t="shared" si="7"/>
        <v>-0.15702578452928251</v>
      </c>
      <c r="O23" s="11"/>
      <c r="P23" s="7">
        <v>3163.05</v>
      </c>
      <c r="Q23" s="2"/>
      <c r="R23" s="6">
        <f t="shared" si="8"/>
        <v>1.2488845895684449E-2</v>
      </c>
      <c r="S23" s="2"/>
      <c r="T23" s="7">
        <v>3711.65</v>
      </c>
      <c r="U23" s="2"/>
      <c r="V23" s="6">
        <f t="shared" si="9"/>
        <v>3.1443469273648363E-2</v>
      </c>
      <c r="W23" s="2"/>
      <c r="X23" s="7">
        <f t="shared" si="10"/>
        <v>-548.59999999999991</v>
      </c>
      <c r="Y23" s="2"/>
      <c r="Z23" s="6">
        <f t="shared" si="11"/>
        <v>-0.14780488462004765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31.46</v>
      </c>
      <c r="E24" s="2"/>
      <c r="F24" s="6">
        <f t="shared" si="4"/>
        <v>1.8061775175106213E-3</v>
      </c>
      <c r="G24" s="2"/>
      <c r="H24" s="7">
        <v>37.770000000000003</v>
      </c>
      <c r="I24" s="2"/>
      <c r="J24" s="6">
        <f t="shared" si="5"/>
        <v>1.2502482621648463E-3</v>
      </c>
      <c r="K24" s="2"/>
      <c r="L24" s="7">
        <f t="shared" si="6"/>
        <v>-6.3100000000000023</v>
      </c>
      <c r="M24" s="2"/>
      <c r="N24" s="6">
        <f t="shared" si="7"/>
        <v>-0.16706380725443479</v>
      </c>
      <c r="O24" s="11"/>
      <c r="P24" s="7">
        <v>98.1</v>
      </c>
      <c r="Q24" s="2"/>
      <c r="R24" s="6">
        <f t="shared" si="8"/>
        <v>3.8733367552414418E-4</v>
      </c>
      <c r="S24" s="2"/>
      <c r="T24" s="7">
        <v>111.17</v>
      </c>
      <c r="U24" s="2"/>
      <c r="V24" s="6">
        <f t="shared" si="9"/>
        <v>9.4178343301536745E-4</v>
      </c>
      <c r="W24" s="2"/>
      <c r="X24" s="7">
        <f t="shared" si="10"/>
        <v>-13.070000000000007</v>
      </c>
      <c r="Y24" s="2"/>
      <c r="Z24" s="6">
        <f t="shared" si="11"/>
        <v>-0.11756768912476394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7">
        <v>586.58000000000004</v>
      </c>
      <c r="E25" s="2"/>
      <c r="F25" s="6">
        <f t="shared" si="4"/>
        <v>3.3676656332529573E-2</v>
      </c>
      <c r="G25" s="2"/>
      <c r="H25" s="7">
        <v>640.35</v>
      </c>
      <c r="I25" s="2"/>
      <c r="J25" s="6">
        <f t="shared" si="5"/>
        <v>2.1196623634558095E-2</v>
      </c>
      <c r="K25" s="2"/>
      <c r="L25" s="7">
        <f t="shared" si="6"/>
        <v>-53.769999999999982</v>
      </c>
      <c r="M25" s="2"/>
      <c r="N25" s="6">
        <f t="shared" si="7"/>
        <v>-8.3969704068087736E-2</v>
      </c>
      <c r="O25" s="11"/>
      <c r="P25" s="7">
        <v>1759.74</v>
      </c>
      <c r="Q25" s="2"/>
      <c r="R25" s="6">
        <f t="shared" si="8"/>
        <v>6.9480791250444186E-3</v>
      </c>
      <c r="S25" s="2"/>
      <c r="T25" s="7">
        <v>2220.14</v>
      </c>
      <c r="U25" s="2"/>
      <c r="V25" s="6">
        <f t="shared" si="9"/>
        <v>1.8808051371545721E-2</v>
      </c>
      <c r="W25" s="2"/>
      <c r="X25" s="7">
        <f t="shared" si="10"/>
        <v>-460.39999999999986</v>
      </c>
      <c r="Y25" s="2"/>
      <c r="Z25" s="6">
        <f t="shared" si="11"/>
        <v>-0.2073743097282153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7"/>
      <c r="E26" s="2"/>
      <c r="F26" s="6">
        <f t="shared" si="4"/>
        <v>0</v>
      </c>
      <c r="G26" s="2"/>
      <c r="H26" s="7">
        <v>85.1</v>
      </c>
      <c r="I26" s="2"/>
      <c r="J26" s="6">
        <f t="shared" si="5"/>
        <v>2.8169480304534918E-3</v>
      </c>
      <c r="K26" s="2"/>
      <c r="L26" s="7">
        <f t="shared" si="6"/>
        <v>-85.1</v>
      </c>
      <c r="M26" s="2"/>
      <c r="N26" s="6">
        <f t="shared" si="7"/>
        <v>-1</v>
      </c>
      <c r="O26" s="11"/>
      <c r="P26" s="7">
        <v>215.15</v>
      </c>
      <c r="Q26" s="2"/>
      <c r="R26" s="6">
        <f t="shared" si="8"/>
        <v>8.4948868796146408E-4</v>
      </c>
      <c r="S26" s="2"/>
      <c r="T26" s="7">
        <v>285.10000000000002</v>
      </c>
      <c r="U26" s="2"/>
      <c r="V26" s="6">
        <f t="shared" si="9"/>
        <v>2.4152420324969081E-3</v>
      </c>
      <c r="W26" s="2"/>
      <c r="X26" s="7">
        <f t="shared" si="10"/>
        <v>-69.950000000000017</v>
      </c>
      <c r="Y26" s="2"/>
      <c r="Z26" s="6">
        <f t="shared" si="11"/>
        <v>-0.24535250789196777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7">
        <v>413.76</v>
      </c>
      <c r="E27" s="2"/>
      <c r="F27" s="6">
        <f t="shared" si="4"/>
        <v>2.3754736479503959E-2</v>
      </c>
      <c r="G27" s="2"/>
      <c r="H27" s="7">
        <v>520.02</v>
      </c>
      <c r="I27" s="2"/>
      <c r="J27" s="6">
        <f t="shared" si="5"/>
        <v>1.7213505461767625E-2</v>
      </c>
      <c r="K27" s="2"/>
      <c r="L27" s="7">
        <f t="shared" si="6"/>
        <v>-106.25999999999999</v>
      </c>
      <c r="M27" s="2"/>
      <c r="N27" s="6">
        <f t="shared" si="7"/>
        <v>-0.20433829468097381</v>
      </c>
      <c r="O27" s="11"/>
      <c r="P27" s="7">
        <v>1241.28</v>
      </c>
      <c r="Q27" s="2"/>
      <c r="R27" s="6">
        <f t="shared" si="8"/>
        <v>4.9010147273660523E-3</v>
      </c>
      <c r="S27" s="2"/>
      <c r="T27" s="7">
        <v>1560.06</v>
      </c>
      <c r="U27" s="2"/>
      <c r="V27" s="6">
        <f t="shared" si="9"/>
        <v>1.3216143406584096E-2</v>
      </c>
      <c r="W27" s="2"/>
      <c r="X27" s="7">
        <f t="shared" si="10"/>
        <v>-318.77999999999997</v>
      </c>
      <c r="Y27" s="2"/>
      <c r="Z27" s="6">
        <f t="shared" si="11"/>
        <v>-0.20433829468097381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7">
        <v>266.91000000000003</v>
      </c>
      <c r="E28" s="2"/>
      <c r="F28" s="6">
        <f t="shared" si="4"/>
        <v>1.5323802962452636E-2</v>
      </c>
      <c r="G28" s="2"/>
      <c r="H28" s="7">
        <v>299.26</v>
      </c>
      <c r="I28" s="2"/>
      <c r="J28" s="6">
        <f t="shared" si="5"/>
        <v>9.9059913935782857E-3</v>
      </c>
      <c r="K28" s="2"/>
      <c r="L28" s="7">
        <f t="shared" si="6"/>
        <v>-32.349999999999966</v>
      </c>
      <c r="M28" s="2"/>
      <c r="N28" s="6">
        <f t="shared" si="7"/>
        <v>-0.10809997995054457</v>
      </c>
      <c r="O28" s="11"/>
      <c r="P28" s="7">
        <v>800.73</v>
      </c>
      <c r="Q28" s="2"/>
      <c r="R28" s="6">
        <f t="shared" si="8"/>
        <v>3.1615667074663405E-3</v>
      </c>
      <c r="S28" s="2"/>
      <c r="T28" s="7">
        <v>897.78</v>
      </c>
      <c r="U28" s="2"/>
      <c r="V28" s="6">
        <f t="shared" si="9"/>
        <v>7.6055980074888601E-3</v>
      </c>
      <c r="W28" s="2"/>
      <c r="X28" s="7">
        <f t="shared" si="10"/>
        <v>-97.049999999999955</v>
      </c>
      <c r="Y28" s="2"/>
      <c r="Z28" s="6">
        <f t="shared" si="11"/>
        <v>-0.10809997995054463</v>
      </c>
    </row>
    <row r="29" spans="1:26" s="27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13682.830000000002</v>
      </c>
      <c r="E29" s="1"/>
      <c r="F29" s="5">
        <f t="shared" ref="F29:F35" si="12">IF(D$12=0,0,D29/D$12)</f>
        <v>0.78555689516592042</v>
      </c>
      <c r="G29" s="1"/>
      <c r="H29" s="1">
        <f>SUM(OSRRefH22_1x_0)</f>
        <v>13598.04</v>
      </c>
      <c r="I29" s="1"/>
      <c r="J29" s="5">
        <f t="shared" ref="J29:J35" si="13">IF(H$12=0,0,H29/H$12)</f>
        <v>0.45011717974180737</v>
      </c>
      <c r="K29" s="1"/>
      <c r="L29" s="1">
        <f t="shared" ref="L29:L35" si="14">+D29-H29</f>
        <v>84.790000000000873</v>
      </c>
      <c r="M29" s="1"/>
      <c r="N29" s="5">
        <f t="shared" ref="N29:N35" si="15">IF(H29=0,0,L29/H29)</f>
        <v>6.2354574629873765E-3</v>
      </c>
      <c r="O29" s="14"/>
      <c r="P29" s="1">
        <f>SUM(OSRRefP22_1x_0)</f>
        <v>50138.5</v>
      </c>
      <c r="Q29" s="1"/>
      <c r="R29" s="5">
        <f t="shared" ref="R29:R35" si="16">IF(P$12=0,0,P29/P$12)</f>
        <v>0.19796462273463103</v>
      </c>
      <c r="S29" s="1"/>
      <c r="T29" s="1">
        <f>SUM(OSRRefT22_1x_0)</f>
        <v>46046.859999999993</v>
      </c>
      <c r="U29" s="1"/>
      <c r="V29" s="5">
        <f t="shared" ref="V29:V35" si="17">IF(T$12=0,0,T29/T$12)</f>
        <v>0.39008878195896368</v>
      </c>
      <c r="W29" s="1"/>
      <c r="X29" s="1">
        <f t="shared" ref="X29:X35" si="18">+P29-T29</f>
        <v>4091.6400000000067</v>
      </c>
      <c r="Y29" s="1"/>
      <c r="Z29" s="5">
        <f t="shared" ref="Z29:Z35" si="19">IF(T29=0,0,X29/T29)</f>
        <v>8.8858176214404352E-2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7">
        <v>4479.1000000000004</v>
      </c>
      <c r="E30" s="2"/>
      <c r="F30" s="6">
        <f t="shared" si="12"/>
        <v>0.25715351934780117</v>
      </c>
      <c r="G30" s="2"/>
      <c r="H30" s="7">
        <v>4205.72</v>
      </c>
      <c r="I30" s="2"/>
      <c r="J30" s="6">
        <f t="shared" si="13"/>
        <v>0.139216153591526</v>
      </c>
      <c r="K30" s="2"/>
      <c r="L30" s="7">
        <f t="shared" si="14"/>
        <v>273.38000000000011</v>
      </c>
      <c r="M30" s="2"/>
      <c r="N30" s="6">
        <f t="shared" si="15"/>
        <v>6.500194972561181E-2</v>
      </c>
      <c r="O30" s="11"/>
      <c r="P30" s="7">
        <v>14557.3</v>
      </c>
      <c r="Q30" s="2"/>
      <c r="R30" s="6">
        <f t="shared" si="16"/>
        <v>5.7477395664705645E-2</v>
      </c>
      <c r="S30" s="2"/>
      <c r="T30" s="7">
        <v>13669.16</v>
      </c>
      <c r="U30" s="2"/>
      <c r="V30" s="6">
        <f t="shared" si="17"/>
        <v>0.11579912234628352</v>
      </c>
      <c r="W30" s="2"/>
      <c r="X30" s="7">
        <f t="shared" si="18"/>
        <v>888.13999999999942</v>
      </c>
      <c r="Y30" s="2"/>
      <c r="Z30" s="6">
        <f t="shared" si="19"/>
        <v>6.4973999865390375E-2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7">
        <v>1307.68</v>
      </c>
      <c r="E31" s="2"/>
      <c r="F31" s="6">
        <f t="shared" si="12"/>
        <v>7.5076357790791137E-2</v>
      </c>
      <c r="G31" s="2"/>
      <c r="H31" s="7">
        <v>2282.3000000000002</v>
      </c>
      <c r="I31" s="2"/>
      <c r="J31" s="6">
        <f t="shared" si="13"/>
        <v>7.5547831843760349E-2</v>
      </c>
      <c r="K31" s="2"/>
      <c r="L31" s="7">
        <f t="shared" si="14"/>
        <v>-974.62000000000012</v>
      </c>
      <c r="M31" s="2"/>
      <c r="N31" s="6">
        <f t="shared" si="15"/>
        <v>-0.42703413223502606</v>
      </c>
      <c r="O31" s="11"/>
      <c r="P31" s="7">
        <v>8055.98</v>
      </c>
      <c r="Q31" s="2"/>
      <c r="R31" s="6">
        <f t="shared" si="16"/>
        <v>3.18078730208868E-2</v>
      </c>
      <c r="S31" s="2"/>
      <c r="T31" s="7">
        <v>6961.44</v>
      </c>
      <c r="U31" s="2"/>
      <c r="V31" s="6">
        <f t="shared" si="17"/>
        <v>5.8974263397773667E-2</v>
      </c>
      <c r="W31" s="2"/>
      <c r="X31" s="7">
        <f t="shared" si="18"/>
        <v>1094.54</v>
      </c>
      <c r="Y31" s="2"/>
      <c r="Z31" s="6">
        <f t="shared" si="19"/>
        <v>0.15722896412236548</v>
      </c>
    </row>
    <row r="32" spans="1:26" s="24" customFormat="1" hidden="1" outlineLevel="2" x14ac:dyDescent="0.25">
      <c r="A32" s="28"/>
      <c r="B32" s="11" t="str">
        <f>CONCATENATE("          ", "6004", " - ", "STAFF HOURLY")</f>
        <v xml:space="preserve">          6004 - STAFF HOURLY</v>
      </c>
      <c r="C32" s="11"/>
      <c r="D32" s="7">
        <v>2588</v>
      </c>
      <c r="E32" s="2"/>
      <c r="F32" s="6">
        <f t="shared" si="12"/>
        <v>0.14858192674245033</v>
      </c>
      <c r="G32" s="2"/>
      <c r="H32" s="7"/>
      <c r="I32" s="2"/>
      <c r="J32" s="6">
        <f t="shared" si="13"/>
        <v>0</v>
      </c>
      <c r="K32" s="2"/>
      <c r="L32" s="7">
        <f t="shared" si="14"/>
        <v>2588</v>
      </c>
      <c r="M32" s="2"/>
      <c r="N32" s="6">
        <f t="shared" si="15"/>
        <v>0</v>
      </c>
      <c r="O32" s="11"/>
      <c r="P32" s="7">
        <v>4910.3999999999996</v>
      </c>
      <c r="Q32" s="2"/>
      <c r="R32" s="6">
        <f t="shared" si="16"/>
        <v>1.938800489596083E-2</v>
      </c>
      <c r="S32" s="2"/>
      <c r="T32" s="7"/>
      <c r="U32" s="2"/>
      <c r="V32" s="6">
        <f t="shared" si="17"/>
        <v>0</v>
      </c>
      <c r="W32" s="2"/>
      <c r="X32" s="7">
        <f t="shared" si="18"/>
        <v>4910.3999999999996</v>
      </c>
      <c r="Y32" s="2"/>
      <c r="Z32" s="6">
        <f t="shared" si="19"/>
        <v>0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7">
        <v>5433.05</v>
      </c>
      <c r="E33" s="2"/>
      <c r="F33" s="6">
        <f t="shared" si="12"/>
        <v>0.31192157538178894</v>
      </c>
      <c r="G33" s="2"/>
      <c r="H33" s="7">
        <v>6363.16</v>
      </c>
      <c r="I33" s="2"/>
      <c r="J33" s="6">
        <f t="shared" si="13"/>
        <v>0.21063091691492883</v>
      </c>
      <c r="K33" s="2"/>
      <c r="L33" s="7">
        <f t="shared" si="14"/>
        <v>-930.10999999999967</v>
      </c>
      <c r="M33" s="2"/>
      <c r="N33" s="6">
        <f t="shared" si="15"/>
        <v>-0.14617108480691979</v>
      </c>
      <c r="O33" s="11"/>
      <c r="P33" s="7">
        <v>18843.12</v>
      </c>
      <c r="Q33" s="2"/>
      <c r="R33" s="6">
        <f t="shared" si="16"/>
        <v>7.4399336676274325E-2</v>
      </c>
      <c r="S33" s="2"/>
      <c r="T33" s="7">
        <v>21005.52</v>
      </c>
      <c r="U33" s="2"/>
      <c r="V33" s="6">
        <f t="shared" si="17"/>
        <v>0.17794954338286373</v>
      </c>
      <c r="W33" s="2"/>
      <c r="X33" s="7">
        <f t="shared" si="18"/>
        <v>-2162.4000000000015</v>
      </c>
      <c r="Y33" s="2"/>
      <c r="Z33" s="6">
        <f t="shared" si="19"/>
        <v>-0.10294436890874406</v>
      </c>
    </row>
    <row r="34" spans="1:26" s="24" customFormat="1" hidden="1" outlineLevel="2" x14ac:dyDescent="0.25">
      <c r="A34" s="28"/>
      <c r="B34" s="11" t="str">
        <f>CONCATENATE("          ", "6007", " - ", "STUDENT HOURLY")</f>
        <v xml:space="preserve">          6007 - STUDENT HOURLY</v>
      </c>
      <c r="C34" s="11"/>
      <c r="D34" s="7">
        <v>-125</v>
      </c>
      <c r="E34" s="2"/>
      <c r="F34" s="6">
        <f t="shared" si="12"/>
        <v>-7.1764840969112415E-3</v>
      </c>
      <c r="G34" s="2"/>
      <c r="H34" s="7">
        <v>-96.5</v>
      </c>
      <c r="I34" s="2"/>
      <c r="J34" s="6">
        <f t="shared" si="13"/>
        <v>-3.1943065210195301E-3</v>
      </c>
      <c r="K34" s="2"/>
      <c r="L34" s="7">
        <f t="shared" si="14"/>
        <v>-28.5</v>
      </c>
      <c r="M34" s="2"/>
      <c r="N34" s="6">
        <f t="shared" si="15"/>
        <v>0.29533678756476683</v>
      </c>
      <c r="O34" s="11"/>
      <c r="P34" s="7">
        <v>3771.7</v>
      </c>
      <c r="Q34" s="2"/>
      <c r="R34" s="6">
        <f t="shared" si="16"/>
        <v>1.4892012476803411E-2</v>
      </c>
      <c r="S34" s="2"/>
      <c r="T34" s="7">
        <v>3567.38</v>
      </c>
      <c r="U34" s="2"/>
      <c r="V34" s="6">
        <f t="shared" si="17"/>
        <v>3.0221277172531813E-2</v>
      </c>
      <c r="W34" s="2"/>
      <c r="X34" s="7">
        <f t="shared" si="18"/>
        <v>204.31999999999971</v>
      </c>
      <c r="Y34" s="2"/>
      <c r="Z34" s="6">
        <f t="shared" si="19"/>
        <v>5.7274526403130507E-2</v>
      </c>
    </row>
    <row r="35" spans="1:26" s="24" customFormat="1" hidden="1" outlineLevel="2" x14ac:dyDescent="0.25">
      <c r="A35" s="28"/>
      <c r="B35" s="11" t="str">
        <f>CONCATENATE("          ", "6008", " - ", "STUDENT HOURLY-FICA EXEMPT")</f>
        <v xml:space="preserve">          6008 - STUDENT HOURLY-FICA EXEMPT</v>
      </c>
      <c r="C35" s="11"/>
      <c r="D35" s="7"/>
      <c r="E35" s="2"/>
      <c r="F35" s="6">
        <f t="shared" si="12"/>
        <v>0</v>
      </c>
      <c r="G35" s="2"/>
      <c r="H35" s="7">
        <v>843.36</v>
      </c>
      <c r="I35" s="2"/>
      <c r="J35" s="6">
        <f t="shared" si="13"/>
        <v>2.7916583912611717E-2</v>
      </c>
      <c r="K35" s="2"/>
      <c r="L35" s="7">
        <f t="shared" si="14"/>
        <v>-843.36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843.36</v>
      </c>
      <c r="U35" s="2"/>
      <c r="V35" s="6">
        <f t="shared" si="17"/>
        <v>7.1445756595110215E-3</v>
      </c>
      <c r="W35" s="2"/>
      <c r="X35" s="7">
        <f t="shared" si="18"/>
        <v>-843.36</v>
      </c>
      <c r="Y35" s="2"/>
      <c r="Z35" s="6">
        <f t="shared" si="19"/>
        <v>-1</v>
      </c>
    </row>
    <row r="36" spans="1:26" s="27" customFormat="1" outlineLevel="1" collapsed="1" x14ac:dyDescent="0.25">
      <c r="A36" s="29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17.64</v>
      </c>
      <c r="E36" s="1"/>
      <c r="F36" s="5">
        <f t="shared" ref="F36:F42" si="20">IF(D$12=0,0,D36/D$12)</f>
        <v>1.0127454357561144E-3</v>
      </c>
      <c r="G36" s="1"/>
      <c r="H36" s="1">
        <f>SUM(OSRRefH22_2x_0)</f>
        <v>0</v>
      </c>
      <c r="I36" s="1"/>
      <c r="J36" s="5">
        <f t="shared" ref="J36:J42" si="21">IF(H$12=0,0,H36/H$12)</f>
        <v>0</v>
      </c>
      <c r="K36" s="1"/>
      <c r="L36" s="1">
        <f t="shared" ref="L36:L42" si="22">+D36-H36</f>
        <v>17.64</v>
      </c>
      <c r="M36" s="1"/>
      <c r="N36" s="5">
        <f t="shared" ref="N36:N42" si="23">IF(H36=0,0,L36/H36)</f>
        <v>0</v>
      </c>
      <c r="O36" s="14"/>
      <c r="P36" s="1">
        <f>SUM(OSRRefP22_2x_0)</f>
        <v>35.28</v>
      </c>
      <c r="Q36" s="1"/>
      <c r="R36" s="5">
        <f t="shared" ref="R36:R42" si="24">IF(P$12=0,0,P36/P$12)</f>
        <v>1.3929798239033442E-4</v>
      </c>
      <c r="S36" s="1"/>
      <c r="T36" s="1">
        <f>SUM(OSRRefT22_2x_0)</f>
        <v>0</v>
      </c>
      <c r="U36" s="1"/>
      <c r="V36" s="5">
        <f t="shared" ref="V36:V42" si="25">IF(T$12=0,0,T36/T$12)</f>
        <v>0</v>
      </c>
      <c r="W36" s="1"/>
      <c r="X36" s="1">
        <f t="shared" ref="X36:X42" si="26">+P36-T36</f>
        <v>35.28</v>
      </c>
      <c r="Y36" s="1"/>
      <c r="Z36" s="5">
        <f t="shared" ref="Z36:Z42" si="27">IF(T36=0,0,X36/T36)</f>
        <v>0</v>
      </c>
    </row>
    <row r="37" spans="1:26" s="24" customFormat="1" hidden="1" outlineLevel="2" x14ac:dyDescent="0.25">
      <c r="A37" s="28"/>
      <c r="B37" s="11" t="str">
        <f>CONCATENATE("          ", "6362", " - ", "ADVERTISING EXPENSE")</f>
        <v xml:space="preserve">          6362 - ADVERTISING EXPENSE</v>
      </c>
      <c r="C37" s="11"/>
      <c r="D37" s="7">
        <v>17.64</v>
      </c>
      <c r="E37" s="2"/>
      <c r="F37" s="6">
        <f t="shared" si="20"/>
        <v>1.0127454357561144E-3</v>
      </c>
      <c r="G37" s="2"/>
      <c r="H37" s="7"/>
      <c r="I37" s="2"/>
      <c r="J37" s="6">
        <f t="shared" si="21"/>
        <v>0</v>
      </c>
      <c r="K37" s="2"/>
      <c r="L37" s="7">
        <f t="shared" si="22"/>
        <v>17.64</v>
      </c>
      <c r="M37" s="2"/>
      <c r="N37" s="6">
        <f t="shared" si="23"/>
        <v>0</v>
      </c>
      <c r="O37" s="11"/>
      <c r="P37" s="7">
        <v>35.28</v>
      </c>
      <c r="Q37" s="2"/>
      <c r="R37" s="6">
        <f t="shared" si="24"/>
        <v>1.3929798239033442E-4</v>
      </c>
      <c r="S37" s="2"/>
      <c r="T37" s="7"/>
      <c r="U37" s="2"/>
      <c r="V37" s="6">
        <f t="shared" si="25"/>
        <v>0</v>
      </c>
      <c r="W37" s="2"/>
      <c r="X37" s="7">
        <f t="shared" si="26"/>
        <v>35.28</v>
      </c>
      <c r="Y37" s="2"/>
      <c r="Z37" s="6">
        <f t="shared" si="27"/>
        <v>0</v>
      </c>
    </row>
    <row r="38" spans="1:26" s="27" customFormat="1" outlineLevel="1" collapsed="1" x14ac:dyDescent="0.25">
      <c r="A38" s="29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460.95</v>
      </c>
      <c r="E38" s="1"/>
      <c r="F38" s="5">
        <f t="shared" si="20"/>
        <v>2.6464002755769891E-2</v>
      </c>
      <c r="G38" s="1"/>
      <c r="H38" s="1">
        <f>SUM(OSRRefH22_3x_0)</f>
        <v>94</v>
      </c>
      <c r="I38" s="1"/>
      <c r="J38" s="5">
        <f t="shared" si="21"/>
        <v>3.1115524660708374E-3</v>
      </c>
      <c r="K38" s="1"/>
      <c r="L38" s="1">
        <f t="shared" si="22"/>
        <v>366.95</v>
      </c>
      <c r="M38" s="1"/>
      <c r="N38" s="5">
        <f t="shared" si="23"/>
        <v>3.9037234042553188</v>
      </c>
      <c r="O38" s="14"/>
      <c r="P38" s="1">
        <f>SUM(OSRRefP22_3x_0)</f>
        <v>972.21</v>
      </c>
      <c r="Q38" s="1"/>
      <c r="R38" s="5">
        <f t="shared" si="24"/>
        <v>3.8386307103091565E-3</v>
      </c>
      <c r="S38" s="1"/>
      <c r="T38" s="1">
        <f>SUM(OSRRefT22_3x_0)</f>
        <v>464.43</v>
      </c>
      <c r="U38" s="1"/>
      <c r="V38" s="5">
        <f t="shared" si="25"/>
        <v>3.9344470612154995E-3</v>
      </c>
      <c r="W38" s="1"/>
      <c r="X38" s="1">
        <f t="shared" si="26"/>
        <v>507.78000000000003</v>
      </c>
      <c r="Y38" s="1"/>
      <c r="Z38" s="5">
        <f t="shared" si="27"/>
        <v>1.093340223499774</v>
      </c>
    </row>
    <row r="39" spans="1:26" s="24" customFormat="1" hidden="1" outlineLevel="2" x14ac:dyDescent="0.25">
      <c r="A39" s="28"/>
      <c r="B39" s="11" t="str">
        <f>CONCATENATE("          ", "6381", " - ", "BANK/CREDIT CARD FEES")</f>
        <v xml:space="preserve">          6381 - BANK/CREDIT CARD FEES</v>
      </c>
      <c r="C39" s="11"/>
      <c r="D39" s="7">
        <v>460.95</v>
      </c>
      <c r="E39" s="2"/>
      <c r="F39" s="6">
        <f t="shared" si="20"/>
        <v>2.6464002755769891E-2</v>
      </c>
      <c r="G39" s="2"/>
      <c r="H39" s="7">
        <v>94</v>
      </c>
      <c r="I39" s="2"/>
      <c r="J39" s="6">
        <f t="shared" si="21"/>
        <v>3.1115524660708374E-3</v>
      </c>
      <c r="K39" s="2"/>
      <c r="L39" s="7">
        <f t="shared" si="22"/>
        <v>366.95</v>
      </c>
      <c r="M39" s="2"/>
      <c r="N39" s="6">
        <f t="shared" si="23"/>
        <v>3.9037234042553188</v>
      </c>
      <c r="O39" s="11"/>
      <c r="P39" s="7">
        <v>972.21</v>
      </c>
      <c r="Q39" s="2"/>
      <c r="R39" s="6">
        <f t="shared" si="24"/>
        <v>3.8386307103091565E-3</v>
      </c>
      <c r="S39" s="2"/>
      <c r="T39" s="7">
        <v>464.43</v>
      </c>
      <c r="U39" s="2"/>
      <c r="V39" s="6">
        <f t="shared" si="25"/>
        <v>3.9344470612154995E-3</v>
      </c>
      <c r="W39" s="2"/>
      <c r="X39" s="7">
        <f t="shared" si="26"/>
        <v>507.78000000000003</v>
      </c>
      <c r="Y39" s="2"/>
      <c r="Z39" s="6">
        <f t="shared" si="27"/>
        <v>1.093340223499774</v>
      </c>
    </row>
    <row r="40" spans="1:26" s="27" customFormat="1" outlineLevel="1" collapsed="1" x14ac:dyDescent="0.25">
      <c r="A40" s="29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SUM(OSRRefD22_4x_0)</f>
        <v>0.31</v>
      </c>
      <c r="E40" s="1"/>
      <c r="F40" s="5">
        <f t="shared" si="20"/>
        <v>1.7797680560339877E-5</v>
      </c>
      <c r="G40" s="1"/>
      <c r="H40" s="1">
        <f>SUM(OSRRefH22_4x_0)</f>
        <v>0.5</v>
      </c>
      <c r="I40" s="1"/>
      <c r="J40" s="5">
        <f t="shared" si="21"/>
        <v>1.6550810989738498E-5</v>
      </c>
      <c r="K40" s="1"/>
      <c r="L40" s="1">
        <f t="shared" si="22"/>
        <v>-0.19</v>
      </c>
      <c r="M40" s="1"/>
      <c r="N40" s="5">
        <f t="shared" si="23"/>
        <v>-0.38</v>
      </c>
      <c r="O40" s="14"/>
      <c r="P40" s="1">
        <f>SUM(OSRRefP22_4x_0)</f>
        <v>0.31</v>
      </c>
      <c r="Q40" s="1"/>
      <c r="R40" s="5">
        <f t="shared" si="24"/>
        <v>1.2239902080783354E-6</v>
      </c>
      <c r="S40" s="1"/>
      <c r="T40" s="1">
        <f>SUM(OSRRefT22_4x_0)</f>
        <v>0.79</v>
      </c>
      <c r="U40" s="1"/>
      <c r="V40" s="5">
        <f t="shared" si="25"/>
        <v>6.6925331661611973E-6</v>
      </c>
      <c r="W40" s="1"/>
      <c r="X40" s="1">
        <f t="shared" si="26"/>
        <v>-0.48000000000000004</v>
      </c>
      <c r="Y40" s="1"/>
      <c r="Z40" s="5">
        <f t="shared" si="27"/>
        <v>-0.60759493670886078</v>
      </c>
    </row>
    <row r="41" spans="1:26" s="24" customFormat="1" hidden="1" outlineLevel="2" x14ac:dyDescent="0.25">
      <c r="A41" s="28"/>
      <c r="B41" s="11" t="str">
        <f>CONCATENATE("          ", "6305", " - ", "FREIGHT OUT")</f>
        <v xml:space="preserve">          6305 - FREIGHT OUT</v>
      </c>
      <c r="C41" s="11"/>
      <c r="D41" s="7">
        <v>0.31</v>
      </c>
      <c r="E41" s="2"/>
      <c r="F41" s="6">
        <f t="shared" si="20"/>
        <v>1.7797680560339877E-5</v>
      </c>
      <c r="G41" s="2"/>
      <c r="H41" s="7"/>
      <c r="I41" s="2"/>
      <c r="J41" s="6">
        <f t="shared" si="21"/>
        <v>0</v>
      </c>
      <c r="K41" s="2"/>
      <c r="L41" s="7">
        <f t="shared" si="22"/>
        <v>0.31</v>
      </c>
      <c r="M41" s="2"/>
      <c r="N41" s="6">
        <f t="shared" si="23"/>
        <v>0</v>
      </c>
      <c r="O41" s="11"/>
      <c r="P41" s="7">
        <v>0.31</v>
      </c>
      <c r="Q41" s="2"/>
      <c r="R41" s="6">
        <f t="shared" si="24"/>
        <v>1.2239902080783354E-6</v>
      </c>
      <c r="S41" s="2"/>
      <c r="T41" s="7">
        <v>0.28999999999999998</v>
      </c>
      <c r="U41" s="2"/>
      <c r="V41" s="6">
        <f t="shared" si="25"/>
        <v>2.4567526812490469E-6</v>
      </c>
      <c r="W41" s="2"/>
      <c r="X41" s="7">
        <f t="shared" si="26"/>
        <v>2.0000000000000018E-2</v>
      </c>
      <c r="Y41" s="2"/>
      <c r="Z41" s="6">
        <f t="shared" si="27"/>
        <v>6.8965517241379379E-2</v>
      </c>
    </row>
    <row r="42" spans="1:26" s="24" customFormat="1" hidden="1" outlineLevel="2" x14ac:dyDescent="0.25">
      <c r="A42" s="28"/>
      <c r="B42" s="11" t="str">
        <f>CONCATENATE("          ", "6307", " - ", "POSTAGE")</f>
        <v xml:space="preserve">          6307 - POSTAGE</v>
      </c>
      <c r="C42" s="11"/>
      <c r="D42" s="7"/>
      <c r="E42" s="2"/>
      <c r="F42" s="6">
        <f t="shared" si="20"/>
        <v>0</v>
      </c>
      <c r="G42" s="2"/>
      <c r="H42" s="7">
        <v>0.5</v>
      </c>
      <c r="I42" s="2"/>
      <c r="J42" s="6">
        <f t="shared" si="21"/>
        <v>1.6550810989738498E-5</v>
      </c>
      <c r="K42" s="2"/>
      <c r="L42" s="7">
        <f t="shared" si="22"/>
        <v>-0.5</v>
      </c>
      <c r="M42" s="2"/>
      <c r="N42" s="6">
        <f t="shared" si="23"/>
        <v>-1</v>
      </c>
      <c r="O42" s="11"/>
      <c r="P42" s="7"/>
      <c r="Q42" s="2"/>
      <c r="R42" s="6">
        <f t="shared" si="24"/>
        <v>0</v>
      </c>
      <c r="S42" s="2"/>
      <c r="T42" s="7">
        <v>0.5</v>
      </c>
      <c r="U42" s="2"/>
      <c r="V42" s="6">
        <f t="shared" si="25"/>
        <v>4.2357804849121496E-6</v>
      </c>
      <c r="W42" s="2"/>
      <c r="X42" s="7">
        <f t="shared" si="26"/>
        <v>-0.5</v>
      </c>
      <c r="Y42" s="2"/>
      <c r="Z42" s="6">
        <f t="shared" si="27"/>
        <v>-1</v>
      </c>
    </row>
    <row r="43" spans="1:26" s="27" customFormat="1" outlineLevel="1" collapsed="1" x14ac:dyDescent="0.25">
      <c r="A43" s="29"/>
      <c r="B43" s="14" t="str">
        <f>CONCATENATE("     ","Insurance                                         ")</f>
        <v xml:space="preserve">     Insurance                                         </v>
      </c>
      <c r="C43" s="14"/>
      <c r="D43" s="1">
        <f>SUM(OSRRefD22_5x_0)</f>
        <v>39.43</v>
      </c>
      <c r="E43" s="1"/>
      <c r="F43" s="5">
        <f t="shared" ref="F43:F49" si="28">IF(D$12=0,0,D43/D$12)</f>
        <v>2.2637501435296818E-3</v>
      </c>
      <c r="G43" s="1"/>
      <c r="H43" s="1">
        <f>SUM(OSRRefH22_5x_0)</f>
        <v>29.01</v>
      </c>
      <c r="I43" s="1"/>
      <c r="J43" s="5">
        <f t="shared" ref="J43:J49" si="29">IF(H$12=0,0,H43/H$12)</f>
        <v>9.602780536246277E-4</v>
      </c>
      <c r="K43" s="1"/>
      <c r="L43" s="1">
        <f t="shared" ref="L43:L49" si="30">+D43-H43</f>
        <v>10.419999999999998</v>
      </c>
      <c r="M43" s="1"/>
      <c r="N43" s="5">
        <f t="shared" ref="N43:N49" si="31">IF(H43=0,0,L43/H43)</f>
        <v>0.35918648741813158</v>
      </c>
      <c r="O43" s="14"/>
      <c r="P43" s="1">
        <f>SUM(OSRRefP22_5x_0)</f>
        <v>118.29</v>
      </c>
      <c r="Q43" s="1"/>
      <c r="R43" s="5">
        <f t="shared" ref="R43:R49" si="32">IF(P$12=0,0,P43/P$12)</f>
        <v>4.6705097326963323E-4</v>
      </c>
      <c r="S43" s="1"/>
      <c r="T43" s="1">
        <f>SUM(OSRRefT22_5x_0)</f>
        <v>87.03</v>
      </c>
      <c r="U43" s="1"/>
      <c r="V43" s="5">
        <f t="shared" ref="V43:V49" si="33">IF(T$12=0,0,T43/T$12)</f>
        <v>7.3727995120380883E-4</v>
      </c>
      <c r="W43" s="1"/>
      <c r="X43" s="1">
        <f t="shared" ref="X43:X49" si="34">+P43-T43</f>
        <v>31.260000000000005</v>
      </c>
      <c r="Y43" s="1"/>
      <c r="Z43" s="5">
        <f t="shared" ref="Z43:Z49" si="35">IF(T43=0,0,X43/T43)</f>
        <v>0.35918648741813175</v>
      </c>
    </row>
    <row r="44" spans="1:26" s="24" customFormat="1" hidden="1" outlineLevel="2" x14ac:dyDescent="0.25">
      <c r="A44" s="28"/>
      <c r="B44" s="11" t="str">
        <f>CONCATENATE("          ", "6314", " - ", "LIABILITY INSURANCE")</f>
        <v xml:space="preserve">          6314 - LIABILITY INSURANCE</v>
      </c>
      <c r="C44" s="11"/>
      <c r="D44" s="7">
        <v>39.43</v>
      </c>
      <c r="E44" s="2"/>
      <c r="F44" s="6">
        <f t="shared" si="28"/>
        <v>2.2637501435296818E-3</v>
      </c>
      <c r="G44" s="2"/>
      <c r="H44" s="7">
        <v>29.01</v>
      </c>
      <c r="I44" s="2"/>
      <c r="J44" s="6">
        <f t="shared" si="29"/>
        <v>9.602780536246277E-4</v>
      </c>
      <c r="K44" s="2"/>
      <c r="L44" s="7">
        <f t="shared" si="30"/>
        <v>10.419999999999998</v>
      </c>
      <c r="M44" s="2"/>
      <c r="N44" s="6">
        <f t="shared" si="31"/>
        <v>0.35918648741813158</v>
      </c>
      <c r="O44" s="11"/>
      <c r="P44" s="7">
        <v>118.29</v>
      </c>
      <c r="Q44" s="2"/>
      <c r="R44" s="6">
        <f t="shared" si="32"/>
        <v>4.6705097326963323E-4</v>
      </c>
      <c r="S44" s="2"/>
      <c r="T44" s="7">
        <v>87.03</v>
      </c>
      <c r="U44" s="2"/>
      <c r="V44" s="6">
        <f t="shared" si="33"/>
        <v>7.3727995120380883E-4</v>
      </c>
      <c r="W44" s="2"/>
      <c r="X44" s="7">
        <f t="shared" si="34"/>
        <v>31.260000000000005</v>
      </c>
      <c r="Y44" s="2"/>
      <c r="Z44" s="6">
        <f t="shared" si="35"/>
        <v>0.35918648741813175</v>
      </c>
    </row>
    <row r="45" spans="1:26" s="27" customFormat="1" outlineLevel="1" collapsed="1" x14ac:dyDescent="0.25">
      <c r="A45" s="29"/>
      <c r="B45" s="14" t="str">
        <f>CONCATENATE("     ","Rent                                              ")</f>
        <v xml:space="preserve">     Rent                                              </v>
      </c>
      <c r="C45" s="14"/>
      <c r="D45" s="1">
        <f>SUM(OSRRefD22_6x_0)</f>
        <v>800</v>
      </c>
      <c r="E45" s="1"/>
      <c r="F45" s="5">
        <f t="shared" si="28"/>
        <v>4.5929498220231943E-2</v>
      </c>
      <c r="G45" s="1"/>
      <c r="H45" s="1">
        <f>SUM(OSRRefH22_6x_0)</f>
        <v>800</v>
      </c>
      <c r="I45" s="1"/>
      <c r="J45" s="5">
        <f t="shared" si="29"/>
        <v>2.6481297583581597E-2</v>
      </c>
      <c r="K45" s="1"/>
      <c r="L45" s="1">
        <f t="shared" si="30"/>
        <v>0</v>
      </c>
      <c r="M45" s="1"/>
      <c r="N45" s="5">
        <f t="shared" si="31"/>
        <v>0</v>
      </c>
      <c r="O45" s="14"/>
      <c r="P45" s="1">
        <f>SUM(OSRRefP22_6x_0)</f>
        <v>2400</v>
      </c>
      <c r="Q45" s="1"/>
      <c r="R45" s="5">
        <f t="shared" si="32"/>
        <v>9.4760532238322738E-3</v>
      </c>
      <c r="S45" s="1"/>
      <c r="T45" s="1">
        <f>SUM(OSRRefT22_6x_0)</f>
        <v>2400</v>
      </c>
      <c r="U45" s="1"/>
      <c r="V45" s="5">
        <f t="shared" si="33"/>
        <v>2.033174632757832E-2</v>
      </c>
      <c r="W45" s="1"/>
      <c r="X45" s="1">
        <f t="shared" si="34"/>
        <v>0</v>
      </c>
      <c r="Y45" s="1"/>
      <c r="Z45" s="5">
        <f t="shared" si="35"/>
        <v>0</v>
      </c>
    </row>
    <row r="46" spans="1:26" s="24" customFormat="1" hidden="1" outlineLevel="2" x14ac:dyDescent="0.25">
      <c r="A46" s="28"/>
      <c r="B46" s="11" t="str">
        <f>CONCATENATE("          ", "6273", " - ", "RENT")</f>
        <v xml:space="preserve">          6273 - RENT</v>
      </c>
      <c r="C46" s="11"/>
      <c r="D46" s="7">
        <v>800</v>
      </c>
      <c r="E46" s="2"/>
      <c r="F46" s="6">
        <f t="shared" si="28"/>
        <v>4.5929498220231943E-2</v>
      </c>
      <c r="G46" s="2"/>
      <c r="H46" s="7">
        <v>800</v>
      </c>
      <c r="I46" s="2"/>
      <c r="J46" s="6">
        <f t="shared" si="29"/>
        <v>2.6481297583581597E-2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2400</v>
      </c>
      <c r="Q46" s="2"/>
      <c r="R46" s="6">
        <f t="shared" si="32"/>
        <v>9.4760532238322738E-3</v>
      </c>
      <c r="S46" s="2"/>
      <c r="T46" s="7">
        <v>2400</v>
      </c>
      <c r="U46" s="2"/>
      <c r="V46" s="6">
        <f t="shared" si="33"/>
        <v>2.033174632757832E-2</v>
      </c>
      <c r="W46" s="2"/>
      <c r="X46" s="7">
        <f t="shared" si="34"/>
        <v>0</v>
      </c>
      <c r="Y46" s="2"/>
      <c r="Z46" s="6">
        <f t="shared" si="35"/>
        <v>0</v>
      </c>
    </row>
    <row r="47" spans="1:26" s="27" customFormat="1" outlineLevel="1" collapsed="1" x14ac:dyDescent="0.25">
      <c r="A47" s="29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SUM(OSRRefD22_7x_0)</f>
        <v>0</v>
      </c>
      <c r="E47" s="1"/>
      <c r="F47" s="5">
        <f t="shared" si="28"/>
        <v>0</v>
      </c>
      <c r="G47" s="1"/>
      <c r="H47" s="1">
        <f>SUM(OSRRefH22_7x_0)</f>
        <v>6562</v>
      </c>
      <c r="I47" s="1"/>
      <c r="J47" s="5">
        <f t="shared" si="29"/>
        <v>0.21721284342932803</v>
      </c>
      <c r="K47" s="1"/>
      <c r="L47" s="1">
        <f t="shared" si="30"/>
        <v>-6562</v>
      </c>
      <c r="M47" s="1"/>
      <c r="N47" s="5">
        <f t="shared" si="31"/>
        <v>-1</v>
      </c>
      <c r="O47" s="14"/>
      <c r="P47" s="1">
        <f>SUM(OSRRefP22_7x_0)</f>
        <v>122000.62</v>
      </c>
      <c r="Q47" s="1"/>
      <c r="R47" s="5">
        <f t="shared" si="32"/>
        <v>0.48170182019189006</v>
      </c>
      <c r="S47" s="1"/>
      <c r="T47" s="1">
        <f>SUM(OSRRefT22_7x_0)</f>
        <v>6562</v>
      </c>
      <c r="U47" s="1"/>
      <c r="V47" s="5">
        <f t="shared" si="33"/>
        <v>5.5590383083987054E-2</v>
      </c>
      <c r="W47" s="1"/>
      <c r="X47" s="1">
        <f t="shared" si="34"/>
        <v>115438.62</v>
      </c>
      <c r="Y47" s="1"/>
      <c r="Z47" s="5">
        <f t="shared" si="35"/>
        <v>17.591987199024686</v>
      </c>
    </row>
    <row r="48" spans="1:26" s="24" customFormat="1" hidden="1" outlineLevel="2" x14ac:dyDescent="0.25">
      <c r="A48" s="28"/>
      <c r="B48" s="11" t="str">
        <f>CONCATENATE("          ", "6373", " - ", "MAINTENANCE CONTRACTS")</f>
        <v xml:space="preserve">          6373 - MAINTENANCE CONTRACTS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122000.62</v>
      </c>
      <c r="Q48" s="2"/>
      <c r="R48" s="6">
        <f t="shared" si="32"/>
        <v>0.48170182019189006</v>
      </c>
      <c r="S48" s="2"/>
      <c r="T48" s="7"/>
      <c r="U48" s="2"/>
      <c r="V48" s="6">
        <f t="shared" si="33"/>
        <v>0</v>
      </c>
      <c r="W48" s="2"/>
      <c r="X48" s="7">
        <f t="shared" si="34"/>
        <v>122000.62</v>
      </c>
      <c r="Y48" s="2"/>
      <c r="Z48" s="6">
        <f t="shared" si="35"/>
        <v>0</v>
      </c>
    </row>
    <row r="49" spans="1:26" s="24" customFormat="1" hidden="1" outlineLevel="2" x14ac:dyDescent="0.25">
      <c r="A49" s="28"/>
      <c r="B49" s="11" t="str">
        <f>CONCATENATE("          ", "6375", " - ", "OUTSIDE REPAIRS &amp; MAINTENANCE")</f>
        <v xml:space="preserve">          6375 - OUTSIDE REPAIRS &amp; MAINTENANCE</v>
      </c>
      <c r="C49" s="11"/>
      <c r="D49" s="7"/>
      <c r="E49" s="2"/>
      <c r="F49" s="6">
        <f t="shared" si="28"/>
        <v>0</v>
      </c>
      <c r="G49" s="2"/>
      <c r="H49" s="7">
        <v>6562</v>
      </c>
      <c r="I49" s="2"/>
      <c r="J49" s="6">
        <f t="shared" si="29"/>
        <v>0.21721284342932803</v>
      </c>
      <c r="K49" s="2"/>
      <c r="L49" s="7">
        <f t="shared" si="30"/>
        <v>-6562</v>
      </c>
      <c r="M49" s="2"/>
      <c r="N49" s="6">
        <f t="shared" si="31"/>
        <v>-1</v>
      </c>
      <c r="O49" s="11"/>
      <c r="P49" s="7"/>
      <c r="Q49" s="2"/>
      <c r="R49" s="6">
        <f t="shared" si="32"/>
        <v>0</v>
      </c>
      <c r="S49" s="2"/>
      <c r="T49" s="7">
        <v>6562</v>
      </c>
      <c r="U49" s="2"/>
      <c r="V49" s="6">
        <f t="shared" si="33"/>
        <v>5.5590383083987054E-2</v>
      </c>
      <c r="W49" s="2"/>
      <c r="X49" s="7">
        <f t="shared" si="34"/>
        <v>-6562</v>
      </c>
      <c r="Y49" s="2"/>
      <c r="Z49" s="6">
        <f t="shared" si="35"/>
        <v>-1</v>
      </c>
    </row>
    <row r="50" spans="1:26" s="27" customFormat="1" outlineLevel="1" collapsed="1" x14ac:dyDescent="0.25">
      <c r="A50" s="29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SUM(OSRRefD22_8x_0)</f>
        <v>18.71</v>
      </c>
      <c r="E50" s="1"/>
      <c r="F50" s="5">
        <f t="shared" ref="F50:F53" si="36">IF(D$12=0,0,D50/D$12)</f>
        <v>1.0741761396256746E-3</v>
      </c>
      <c r="G50" s="1"/>
      <c r="H50" s="1">
        <f>SUM(OSRRefH22_8x_0)</f>
        <v>0</v>
      </c>
      <c r="I50" s="1"/>
      <c r="J50" s="5">
        <f t="shared" ref="J50:J53" si="37">IF(H$12=0,0,H50/H$12)</f>
        <v>0</v>
      </c>
      <c r="K50" s="1"/>
      <c r="L50" s="1">
        <f t="shared" ref="L50:L53" si="38">+D50-H50</f>
        <v>18.71</v>
      </c>
      <c r="M50" s="1"/>
      <c r="N50" s="5">
        <f t="shared" ref="N50:N53" si="39">IF(H50=0,0,L50/H50)</f>
        <v>0</v>
      </c>
      <c r="O50" s="14"/>
      <c r="P50" s="1">
        <f>SUM(OSRRefP22_8x_0)</f>
        <v>1976.66</v>
      </c>
      <c r="Q50" s="1"/>
      <c r="R50" s="5">
        <f t="shared" ref="R50:R53" si="40">IF(P$12=0,0,P50/P$12)</f>
        <v>7.8045564022584599E-3</v>
      </c>
      <c r="S50" s="1"/>
      <c r="T50" s="1">
        <f>SUM(OSRRefT22_8x_0)</f>
        <v>35183.15</v>
      </c>
      <c r="U50" s="1"/>
      <c r="V50" s="5">
        <f t="shared" ref="V50:V53" si="41">IF(T$12=0,0,T50/T$12)</f>
        <v>0.29805620033547381</v>
      </c>
      <c r="W50" s="1"/>
      <c r="X50" s="1">
        <f t="shared" ref="X50:X53" si="42">+P50-T50</f>
        <v>-33206.49</v>
      </c>
      <c r="Y50" s="1"/>
      <c r="Z50" s="5">
        <f t="shared" ref="Z50:Z53" si="43">IF(T50=0,0,X50/T50)</f>
        <v>-0.94381799241966668</v>
      </c>
    </row>
    <row r="51" spans="1:26" s="24" customFormat="1" hidden="1" outlineLevel="2" x14ac:dyDescent="0.25">
      <c r="A51" s="28"/>
      <c r="B51" s="11" t="str">
        <f>CONCATENATE("          ", "6241", " - ", "OFFICE EXPENSE")</f>
        <v xml:space="preserve">          6241 - OFFICE EXPENSE</v>
      </c>
      <c r="C51" s="11"/>
      <c r="D51" s="7">
        <v>18.71</v>
      </c>
      <c r="E51" s="2"/>
      <c r="F51" s="6">
        <f t="shared" si="36"/>
        <v>1.0741761396256746E-3</v>
      </c>
      <c r="G51" s="2"/>
      <c r="H51" s="7"/>
      <c r="I51" s="2"/>
      <c r="J51" s="6">
        <f t="shared" si="37"/>
        <v>0</v>
      </c>
      <c r="K51" s="2"/>
      <c r="L51" s="7">
        <f t="shared" si="38"/>
        <v>18.71</v>
      </c>
      <c r="M51" s="2"/>
      <c r="N51" s="6">
        <f t="shared" si="39"/>
        <v>0</v>
      </c>
      <c r="O51" s="11"/>
      <c r="P51" s="7">
        <v>1976.66</v>
      </c>
      <c r="Q51" s="2"/>
      <c r="R51" s="6">
        <f t="shared" si="40"/>
        <v>7.8045564022584599E-3</v>
      </c>
      <c r="S51" s="2"/>
      <c r="T51" s="7">
        <v>35183.15</v>
      </c>
      <c r="U51" s="2"/>
      <c r="V51" s="6">
        <f t="shared" si="41"/>
        <v>0.29805620033547381</v>
      </c>
      <c r="W51" s="2"/>
      <c r="X51" s="7">
        <f t="shared" si="42"/>
        <v>-33206.49</v>
      </c>
      <c r="Y51" s="2"/>
      <c r="Z51" s="6">
        <f t="shared" si="43"/>
        <v>-0.94381799241966668</v>
      </c>
    </row>
    <row r="52" spans="1:26" s="27" customFormat="1" outlineLevel="1" collapsed="1" x14ac:dyDescent="0.25">
      <c r="A52" s="29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SUM(OSRRefD22_9x_0)</f>
        <v>0</v>
      </c>
      <c r="E52" s="1"/>
      <c r="F52" s="5">
        <f t="shared" si="36"/>
        <v>0</v>
      </c>
      <c r="G52" s="1"/>
      <c r="H52" s="1">
        <f>SUM(OSRRefH22_9x_0)</f>
        <v>750</v>
      </c>
      <c r="I52" s="1"/>
      <c r="J52" s="5">
        <f t="shared" si="37"/>
        <v>2.4826216484607744E-2</v>
      </c>
      <c r="K52" s="1"/>
      <c r="L52" s="1">
        <f t="shared" si="38"/>
        <v>-750</v>
      </c>
      <c r="M52" s="1"/>
      <c r="N52" s="5">
        <f t="shared" si="39"/>
        <v>-1</v>
      </c>
      <c r="O52" s="14"/>
      <c r="P52" s="1">
        <f>SUM(OSRRefP22_9x_0)</f>
        <v>-163.30000000000001</v>
      </c>
      <c r="Q52" s="1"/>
      <c r="R52" s="5">
        <f t="shared" si="40"/>
        <v>-6.4476645477158764E-4</v>
      </c>
      <c r="S52" s="1"/>
      <c r="T52" s="1">
        <f>SUM(OSRRefT22_9x_0)</f>
        <v>1042.08</v>
      </c>
      <c r="U52" s="1"/>
      <c r="V52" s="5">
        <f t="shared" si="41"/>
        <v>8.8280442554345053E-3</v>
      </c>
      <c r="W52" s="1"/>
      <c r="X52" s="1">
        <f t="shared" si="42"/>
        <v>-1205.3799999999999</v>
      </c>
      <c r="Y52" s="1"/>
      <c r="Z52" s="5">
        <f t="shared" si="43"/>
        <v>-1.1567058191309687</v>
      </c>
    </row>
    <row r="53" spans="1:26" s="24" customFormat="1" hidden="1" outlineLevel="2" x14ac:dyDescent="0.25">
      <c r="A53" s="28"/>
      <c r="B53" s="11" t="str">
        <f>CONCATENATE("          ", "6309", " - ", "TELEPHONE")</f>
        <v xml:space="preserve">          6309 - TELEPHONE</v>
      </c>
      <c r="C53" s="11"/>
      <c r="D53" s="7">
        <v>0</v>
      </c>
      <c r="E53" s="2"/>
      <c r="F53" s="6">
        <f t="shared" si="36"/>
        <v>0</v>
      </c>
      <c r="G53" s="2"/>
      <c r="H53" s="7">
        <v>750</v>
      </c>
      <c r="I53" s="2"/>
      <c r="J53" s="6">
        <f t="shared" si="37"/>
        <v>2.4826216484607744E-2</v>
      </c>
      <c r="K53" s="2"/>
      <c r="L53" s="7">
        <f t="shared" si="38"/>
        <v>-750</v>
      </c>
      <c r="M53" s="2"/>
      <c r="N53" s="6">
        <f t="shared" si="39"/>
        <v>-1</v>
      </c>
      <c r="O53" s="11"/>
      <c r="P53" s="7">
        <v>-163.30000000000001</v>
      </c>
      <c r="Q53" s="2"/>
      <c r="R53" s="6">
        <f t="shared" si="40"/>
        <v>-6.4476645477158764E-4</v>
      </c>
      <c r="S53" s="2"/>
      <c r="T53" s="7">
        <v>1042.08</v>
      </c>
      <c r="U53" s="2"/>
      <c r="V53" s="6">
        <f t="shared" si="41"/>
        <v>8.8280442554345053E-3</v>
      </c>
      <c r="W53" s="2"/>
      <c r="X53" s="7">
        <f t="shared" si="42"/>
        <v>-1205.3799999999999</v>
      </c>
      <c r="Y53" s="2"/>
      <c r="Z53" s="6">
        <f t="shared" si="43"/>
        <v>-1.1567058191309687</v>
      </c>
    </row>
    <row r="54" spans="1:26" s="54" customFormat="1" x14ac:dyDescent="0.25">
      <c r="A54" s="37"/>
      <c r="B54" s="37"/>
      <c r="C54" s="37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collapsed="1" x14ac:dyDescent="0.25">
      <c r="A55" s="10"/>
      <c r="B55" s="26" t="s">
        <v>292</v>
      </c>
      <c r="C55" s="10"/>
      <c r="D55" s="4">
        <f>SUM(OSRRefD25x_0)</f>
        <v>1163.73</v>
      </c>
      <c r="E55" s="4"/>
      <c r="F55" s="12">
        <f t="shared" ref="F55:F56" si="44">IF(D$12=0,0,D55/D$12)</f>
        <v>6.6811918704788156E-2</v>
      </c>
      <c r="G55" s="4"/>
      <c r="H55" s="4">
        <f>SUM(OSRRefH25x_0)</f>
        <v>260</v>
      </c>
      <c r="I55" s="4"/>
      <c r="J55" s="12">
        <f t="shared" ref="J55:J56" si="45">IF(H$12=0,0,H55/H$12)</f>
        <v>8.6064217146640185E-3</v>
      </c>
      <c r="K55" s="4"/>
      <c r="L55" s="4">
        <f t="shared" ref="L55:L56" si="46">+D55-H55</f>
        <v>903.73</v>
      </c>
      <c r="M55" s="4"/>
      <c r="N55" s="12">
        <f t="shared" ref="N55:N56" si="47">IF(H55=0,0,L55/H55)</f>
        <v>3.4758846153846155</v>
      </c>
      <c r="O55" s="10"/>
      <c r="P55" s="4">
        <f>SUM(OSRRefP25x_0)</f>
        <v>2728.57</v>
      </c>
      <c r="Q55" s="4"/>
      <c r="R55" s="12">
        <f t="shared" ref="R55:R56" si="48">IF(P$12=0,0,P55/P$12)</f>
        <v>1.0773364393730013E-2</v>
      </c>
      <c r="S55" s="4"/>
      <c r="T55" s="4">
        <f>SUM(OSRRefT25x_0)</f>
        <v>750</v>
      </c>
      <c r="U55" s="4"/>
      <c r="V55" s="12">
        <f t="shared" ref="V55:V56" si="49">IF(T$12=0,0,T55/T$12)</f>
        <v>6.3536707273682252E-3</v>
      </c>
      <c r="W55" s="4"/>
      <c r="X55" s="4">
        <f t="shared" ref="X55:X56" si="50">+P55-T55</f>
        <v>1978.5700000000002</v>
      </c>
      <c r="Y55" s="4"/>
      <c r="Z55" s="12">
        <f t="shared" ref="Z55:Z56" si="51">IF(T55=0,0,X55/T55)</f>
        <v>2.6380933333333334</v>
      </c>
    </row>
    <row r="56" spans="1:26" s="24" customFormat="1" hidden="1" outlineLevel="1" x14ac:dyDescent="0.25">
      <c r="A56" s="44"/>
      <c r="B56" s="11" t="str">
        <f>CONCATENATE("          ", "9150", " - ", "MISC. INCOME")</f>
        <v xml:space="preserve">          9150 - MISC. INCOME</v>
      </c>
      <c r="C56" s="11"/>
      <c r="D56" s="2">
        <f>--1163.73</f>
        <v>1163.73</v>
      </c>
      <c r="E56" s="2"/>
      <c r="F56" s="19">
        <f t="shared" si="44"/>
        <v>6.6811918704788156E-2</v>
      </c>
      <c r="G56" s="2"/>
      <c r="H56" s="2">
        <f>--260</f>
        <v>260</v>
      </c>
      <c r="I56" s="2"/>
      <c r="J56" s="19">
        <f t="shared" si="45"/>
        <v>8.6064217146640185E-3</v>
      </c>
      <c r="K56" s="2"/>
      <c r="L56" s="2">
        <f t="shared" si="46"/>
        <v>903.73</v>
      </c>
      <c r="M56" s="2"/>
      <c r="N56" s="19">
        <f t="shared" si="47"/>
        <v>3.4758846153846155</v>
      </c>
      <c r="O56" s="11"/>
      <c r="P56" s="2">
        <f>--2728.57</f>
        <v>2728.57</v>
      </c>
      <c r="Q56" s="2"/>
      <c r="R56" s="19">
        <f t="shared" si="48"/>
        <v>1.0773364393730013E-2</v>
      </c>
      <c r="S56" s="2"/>
      <c r="T56" s="2">
        <f>--750</f>
        <v>750</v>
      </c>
      <c r="U56" s="2"/>
      <c r="V56" s="19">
        <f t="shared" si="49"/>
        <v>6.3536707273682252E-3</v>
      </c>
      <c r="W56" s="2"/>
      <c r="X56" s="2">
        <f t="shared" si="50"/>
        <v>1978.5700000000002</v>
      </c>
      <c r="Y56" s="2"/>
      <c r="Z56" s="19">
        <f t="shared" si="51"/>
        <v>2.6380933333333334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5" t="s">
        <v>276</v>
      </c>
      <c r="C58" s="25"/>
      <c r="D58" s="21">
        <f>+D17-D19+D55</f>
        <v>-0.15999999999939973</v>
      </c>
      <c r="E58" s="13"/>
      <c r="F58" s="22">
        <f>IF(D$12=0,0,D58/D$12)</f>
        <v>-9.1858996440119266E-6</v>
      </c>
      <c r="G58" s="13"/>
      <c r="H58" s="21">
        <f>+H17-H19+H55</f>
        <v>4742.8300000000017</v>
      </c>
      <c r="I58" s="13"/>
      <c r="J58" s="22">
        <f>IF(H$12=0,0,H58/H$12)</f>
        <v>0.15699536577292292</v>
      </c>
      <c r="K58" s="16"/>
      <c r="L58" s="21">
        <f>+D58-H58</f>
        <v>-4742.9900000000016</v>
      </c>
      <c r="M58" s="16"/>
      <c r="N58" s="22">
        <f>IF(H58=0,0,L58/H58)</f>
        <v>-1.0000337351328215</v>
      </c>
      <c r="O58" s="26"/>
      <c r="P58" s="21">
        <f>+P17-P19+P55</f>
        <v>67291.78</v>
      </c>
      <c r="Q58" s="13"/>
      <c r="R58" s="22">
        <f>IF(P$12=0,0,P58/P$12)</f>
        <v>0.26569187033600505</v>
      </c>
      <c r="S58" s="13"/>
      <c r="T58" s="21">
        <f>+T17-T19+T55</f>
        <v>14829.009999999995</v>
      </c>
      <c r="U58" s="13"/>
      <c r="V58" s="22">
        <f>IF(T$12=0,0,T58/T$12)</f>
        <v>0.12562486233713419</v>
      </c>
      <c r="W58" s="16"/>
      <c r="X58" s="21">
        <f>+P58-T58</f>
        <v>52462.770000000004</v>
      </c>
      <c r="Y58" s="16"/>
      <c r="Z58" s="22">
        <f>IF(T58=0,0,X58/T58)</f>
        <v>3.5378470983565338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1"/>
      <c r="B60" s="10" t="s">
        <v>127</v>
      </c>
      <c r="C60" s="10"/>
      <c r="D60" s="4">
        <v>-3895.43</v>
      </c>
      <c r="E60" s="4"/>
      <c r="F60" s="12">
        <f>IF(D$12=0,0,D60/D$12)</f>
        <v>-0.22364393156504764</v>
      </c>
      <c r="G60" s="4"/>
      <c r="H60" s="4">
        <v>7038.6</v>
      </c>
      <c r="I60" s="4"/>
      <c r="J60" s="12">
        <f>IF(H$12=0,0,H60/H$12)</f>
        <v>0.23298907646474679</v>
      </c>
      <c r="K60" s="4"/>
      <c r="L60" s="4">
        <f>+D60-H60</f>
        <v>-10934.03</v>
      </c>
      <c r="M60" s="4"/>
      <c r="N60" s="12">
        <f>IF(H60=0,0,L60/H60)</f>
        <v>-1.5534381837297191</v>
      </c>
      <c r="O60" s="10"/>
      <c r="P60" s="4">
        <v>31348.65</v>
      </c>
      <c r="Q60" s="4"/>
      <c r="R60" s="12">
        <f>IF(P$12=0,0,P60/P$12)</f>
        <v>0.12377561495637068</v>
      </c>
      <c r="S60" s="4"/>
      <c r="T60" s="4">
        <v>21867.87</v>
      </c>
      <c r="U60" s="4"/>
      <c r="V60" s="12">
        <f>IF(T$12=0,0,T60/T$12)</f>
        <v>0.18525499398519171</v>
      </c>
      <c r="W60" s="4"/>
      <c r="X60" s="4">
        <f>+P60-T60</f>
        <v>9480.7800000000025</v>
      </c>
      <c r="Y60" s="4"/>
      <c r="Z60" s="12">
        <f>IF(T60=0,0,X60/T60)</f>
        <v>0.43354839771774767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5" t="s">
        <v>125</v>
      </c>
      <c r="C62" s="25"/>
      <c r="D62" s="33">
        <f>+D58-D60</f>
        <v>3895.2700000000004</v>
      </c>
      <c r="E62" s="13"/>
      <c r="F62" s="35">
        <f>IF(D$12=0,0,D62/D$12)</f>
        <v>0.22363474566540362</v>
      </c>
      <c r="G62" s="13"/>
      <c r="H62" s="33">
        <f>+H58-H60</f>
        <v>-2295.7699999999986</v>
      </c>
      <c r="I62" s="13"/>
      <c r="J62" s="35">
        <f>IF(H$12=0,0,H62/H$12)</f>
        <v>-7.5993710691823854E-2</v>
      </c>
      <c r="K62" s="16"/>
      <c r="L62" s="33">
        <f>D62-H62</f>
        <v>6191.0399999999991</v>
      </c>
      <c r="M62" s="16"/>
      <c r="N62" s="35">
        <f>IF(H62=0,0,L62/H62)</f>
        <v>-2.6967161344559791</v>
      </c>
      <c r="O62" s="26"/>
      <c r="P62" s="33">
        <f>+P58-P60</f>
        <v>35943.129999999997</v>
      </c>
      <c r="Q62" s="13"/>
      <c r="R62" s="35">
        <f>IF(P$12=0,0,P62/P$12)</f>
        <v>0.14191625537963437</v>
      </c>
      <c r="S62" s="13"/>
      <c r="T62" s="33">
        <f>+T58-T60</f>
        <v>-7038.8600000000042</v>
      </c>
      <c r="U62" s="13"/>
      <c r="V62" s="35">
        <f>IF(T$12=0,0,T62/T$12)</f>
        <v>-5.9630131648057506E-2</v>
      </c>
      <c r="W62" s="16"/>
      <c r="X62" s="33">
        <f>P62-T62</f>
        <v>42981.990000000005</v>
      </c>
      <c r="Y62" s="16"/>
      <c r="Z62" s="35">
        <f>IF(T62=0,0,X62/T62)</f>
        <v>-6.1063851248639667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5" t="s">
        <v>293</v>
      </c>
      <c r="C65" s="25"/>
      <c r="D65" s="31">
        <f>SUM(D62:D64)</f>
        <v>3895.2700000000004</v>
      </c>
      <c r="E65" s="13"/>
      <c r="F65" s="32">
        <f>IF(D$12=0,0,D65/D$12)</f>
        <v>0.22363474566540362</v>
      </c>
      <c r="G65" s="13"/>
      <c r="H65" s="31">
        <f>SUM(H62:H64)</f>
        <v>-2295.7699999999986</v>
      </c>
      <c r="I65" s="13"/>
      <c r="J65" s="32">
        <f>IF(H$12=0,0,H65/H$12)</f>
        <v>-7.5993710691823854E-2</v>
      </c>
      <c r="K65" s="16"/>
      <c r="L65" s="31">
        <f>+D65-H65</f>
        <v>6191.0399999999991</v>
      </c>
      <c r="M65" s="16"/>
      <c r="N65" s="32">
        <f>IF(H65=0,0,L65/H65)</f>
        <v>-2.6967161344559791</v>
      </c>
      <c r="O65" s="26"/>
      <c r="P65" s="31">
        <f>SUM(P62:P64)</f>
        <v>35943.129999999997</v>
      </c>
      <c r="Q65" s="13"/>
      <c r="R65" s="32">
        <f>IF(P$12=0,0,P65/P$12)</f>
        <v>0.14191625537963437</v>
      </c>
      <c r="S65" s="13"/>
      <c r="T65" s="31">
        <f>SUM(T62:T64)</f>
        <v>-7038.8600000000042</v>
      </c>
      <c r="U65" s="13"/>
      <c r="V65" s="32">
        <f>IF(T$12=0,0,T65/T$12)</f>
        <v>-5.9630131648057506E-2</v>
      </c>
      <c r="W65" s="16"/>
      <c r="X65" s="31">
        <f>+P65-T65</f>
        <v>42981.990000000005</v>
      </c>
      <c r="Y65" s="16"/>
      <c r="Z65" s="32">
        <f>IF(T65=0,0,X65/T65)</f>
        <v>-6.1063851248639667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6" x14ac:dyDescent="0.25">
      <c r="A67" s="9"/>
      <c r="B67" s="58">
        <v>44481.985629780094</v>
      </c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53" t="s">
        <v>56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2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str">
        <f>CONCATENATE("Period ",RIGHT(202203,2),", ",2022)</f>
        <v>Period 03, 2022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44464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","501", " - ", "ID Card Services")</f>
        <v>Department 501 - ID Card Services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>
        <f>SUM(OSRRefD13x_0)</f>
        <v>17418</v>
      </c>
      <c r="E12" s="4"/>
      <c r="F12" s="12"/>
      <c r="G12" s="4"/>
      <c r="H12" s="4">
        <f>SUM(OSRRefH13x_0)</f>
        <v>30210</v>
      </c>
      <c r="I12" s="4"/>
      <c r="J12" s="12"/>
      <c r="K12" s="4"/>
      <c r="L12" s="4">
        <f t="shared" ref="L12:L13" si="0">+D12-H12</f>
        <v>-12792</v>
      </c>
      <c r="M12" s="4"/>
      <c r="N12" s="12">
        <f t="shared" ref="N12:N13" si="1">IF(H12=0,0,L12/H12)</f>
        <v>-0.42343594836146969</v>
      </c>
      <c r="O12" s="10"/>
      <c r="P12" s="4">
        <f>SUM(OSRRefP13x_0)</f>
        <v>253270</v>
      </c>
      <c r="Q12" s="4"/>
      <c r="R12" s="12"/>
      <c r="S12" s="4"/>
      <c r="T12" s="4">
        <f>SUM(OSRRefT13x_0)</f>
        <v>118042</v>
      </c>
      <c r="U12" s="4"/>
      <c r="V12" s="12"/>
      <c r="W12" s="4"/>
      <c r="X12" s="4">
        <f t="shared" ref="X12:X13" si="2">+P12-T12</f>
        <v>135228</v>
      </c>
      <c r="Y12" s="4"/>
      <c r="Z12" s="12">
        <f t="shared" ref="Z12:Z13" si="3">IF(T12=0,0,X12/T12)</f>
        <v>1.1455922468274005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--17418</f>
        <v>17418</v>
      </c>
      <c r="E13" s="2"/>
      <c r="F13" s="19"/>
      <c r="G13" s="2"/>
      <c r="H13" s="2">
        <f>--30210</f>
        <v>30210</v>
      </c>
      <c r="I13" s="2"/>
      <c r="J13" s="19"/>
      <c r="K13" s="2"/>
      <c r="L13" s="2">
        <f t="shared" si="0"/>
        <v>-12792</v>
      </c>
      <c r="M13" s="2"/>
      <c r="N13" s="19">
        <f t="shared" si="1"/>
        <v>-0.42343594836146969</v>
      </c>
      <c r="O13" s="11"/>
      <c r="P13" s="2">
        <f>--253270</f>
        <v>253270</v>
      </c>
      <c r="Q13" s="2"/>
      <c r="R13" s="19"/>
      <c r="S13" s="2"/>
      <c r="T13" s="2">
        <f>--118042</f>
        <v>118042</v>
      </c>
      <c r="U13" s="2"/>
      <c r="V13" s="19"/>
      <c r="W13" s="2"/>
      <c r="X13" s="2">
        <f t="shared" si="2"/>
        <v>135228</v>
      </c>
      <c r="Y13" s="2"/>
      <c r="Z13" s="19">
        <f t="shared" si="3"/>
        <v>1.1455922468274005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107</v>
      </c>
      <c r="C17" s="25"/>
      <c r="D17" s="21">
        <f>D12-D15</f>
        <v>17418</v>
      </c>
      <c r="E17" s="13"/>
      <c r="F17" s="22">
        <f>IF(D$12=0,0,D17/D$12)</f>
        <v>1</v>
      </c>
      <c r="G17" s="13"/>
      <c r="H17" s="21">
        <f>H12-H15</f>
        <v>30210</v>
      </c>
      <c r="I17" s="13"/>
      <c r="J17" s="22">
        <f>IF(H$12=0,0,H17/H$12)</f>
        <v>1</v>
      </c>
      <c r="K17" s="16"/>
      <c r="L17" s="21">
        <f>+D17-H17</f>
        <v>-12792</v>
      </c>
      <c r="M17" s="16"/>
      <c r="N17" s="22">
        <f>IF(H17=0,0,L17/H17)</f>
        <v>-0.42343594836146969</v>
      </c>
      <c r="O17" s="26"/>
      <c r="P17" s="21">
        <f>P12-P15</f>
        <v>253270</v>
      </c>
      <c r="Q17" s="13"/>
      <c r="R17" s="22">
        <f>IF(P$12=0,0,P17/P$12)</f>
        <v>1</v>
      </c>
      <c r="S17" s="13"/>
      <c r="T17" s="21">
        <f>T12-T15</f>
        <v>118042</v>
      </c>
      <c r="U17" s="13"/>
      <c r="V17" s="22">
        <f>IF(T$12=0,0,T17/T$12)</f>
        <v>1</v>
      </c>
      <c r="W17" s="16"/>
      <c r="X17" s="21">
        <f>+P17-T17</f>
        <v>135228</v>
      </c>
      <c r="Y17" s="16"/>
      <c r="Z17" s="22">
        <f>IF(T17=0,0,X17/T17)</f>
        <v>1.1455922468274005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294</v>
      </c>
      <c r="C19" s="10"/>
      <c r="D19" s="20">
        <f>SUM(OSRRefD22x_0)</f>
        <v>18581.89</v>
      </c>
      <c r="E19" s="20"/>
      <c r="F19" s="30">
        <f t="shared" ref="F19:F28" si="4">IF(D$12=0,0,D19/D$12)</f>
        <v>1.0668211046044322</v>
      </c>
      <c r="G19" s="20"/>
      <c r="H19" s="20">
        <f>SUM(OSRRefH22x_0)</f>
        <v>25727.17</v>
      </c>
      <c r="I19" s="20"/>
      <c r="J19" s="30">
        <f t="shared" ref="J19:J28" si="5">IF(H$12=0,0,H19/H$12)</f>
        <v>0.85161105594174114</v>
      </c>
      <c r="K19" s="4"/>
      <c r="L19" s="20">
        <f t="shared" ref="L19:L28" si="6">+D19-H19</f>
        <v>-7145.2799999999988</v>
      </c>
      <c r="M19" s="4"/>
      <c r="N19" s="30">
        <f t="shared" ref="N19:N28" si="7">IF(H19=0,0,L19/H19)</f>
        <v>-0.27773284041734864</v>
      </c>
      <c r="O19" s="10"/>
      <c r="P19" s="20">
        <f>SUM(OSRRefP22x_0)</f>
        <v>188706.79</v>
      </c>
      <c r="Q19" s="20"/>
      <c r="R19" s="30">
        <f t="shared" ref="R19:R28" si="8">IF(P$12=0,0,P19/P$12)</f>
        <v>0.74508149405772495</v>
      </c>
      <c r="S19" s="20"/>
      <c r="T19" s="20">
        <f>SUM(OSRRefT22x_0)</f>
        <v>103962.99</v>
      </c>
      <c r="U19" s="20"/>
      <c r="V19" s="30">
        <f t="shared" ref="V19:V28" si="9">IF(T$12=0,0,T19/T$12)</f>
        <v>0.88072880839023404</v>
      </c>
      <c r="W19" s="4"/>
      <c r="X19" s="20">
        <f t="shared" ref="X19:X28" si="10">+P19-T19</f>
        <v>84743.8</v>
      </c>
      <c r="Y19" s="4"/>
      <c r="Z19" s="30">
        <f t="shared" ref="Z19:Z28" si="11">IF(T19=0,0,X19/T19)</f>
        <v>0.81513430885356408</v>
      </c>
    </row>
    <row r="20" spans="1:26" s="27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3562.0199999999995</v>
      </c>
      <c r="E20" s="1"/>
      <c r="F20" s="5">
        <f t="shared" si="4"/>
        <v>0.20450223906303822</v>
      </c>
      <c r="G20" s="1"/>
      <c r="H20" s="1">
        <f>SUM(OSRRefH22_0x_0)</f>
        <v>3893.62</v>
      </c>
      <c r="I20" s="1"/>
      <c r="J20" s="5">
        <f t="shared" si="5"/>
        <v>0.12888513737173121</v>
      </c>
      <c r="K20" s="1"/>
      <c r="L20" s="1">
        <f t="shared" si="6"/>
        <v>-331.60000000000036</v>
      </c>
      <c r="M20" s="1"/>
      <c r="N20" s="5">
        <f t="shared" si="7"/>
        <v>-8.5164962168881503E-2</v>
      </c>
      <c r="O20" s="14"/>
      <c r="P20" s="1">
        <f>SUM(OSRRefP22_0x_0)</f>
        <v>11228.220000000001</v>
      </c>
      <c r="Q20" s="1"/>
      <c r="R20" s="5">
        <f t="shared" si="8"/>
        <v>4.4333004303707513E-2</v>
      </c>
      <c r="S20" s="1"/>
      <c r="T20" s="1">
        <f>SUM(OSRRefT22_0x_0)</f>
        <v>12176.65</v>
      </c>
      <c r="U20" s="1"/>
      <c r="V20" s="5">
        <f t="shared" si="9"/>
        <v>0.10315523288321106</v>
      </c>
      <c r="W20" s="1"/>
      <c r="X20" s="1">
        <f t="shared" si="10"/>
        <v>-948.42999999999847</v>
      </c>
      <c r="Y20" s="1"/>
      <c r="Z20" s="5">
        <f t="shared" si="11"/>
        <v>-7.788923883005576E-2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7">
        <v>1050.3699999999999</v>
      </c>
      <c r="E21" s="2"/>
      <c r="F21" s="6">
        <f t="shared" si="4"/>
        <v>6.0303708806981278E-2</v>
      </c>
      <c r="G21" s="2"/>
      <c r="H21" s="7">
        <v>977.97</v>
      </c>
      <c r="I21" s="2"/>
      <c r="J21" s="6">
        <f t="shared" si="5"/>
        <v>3.2372393247269114E-2</v>
      </c>
      <c r="K21" s="2"/>
      <c r="L21" s="7">
        <f t="shared" si="6"/>
        <v>72.399999999999864</v>
      </c>
      <c r="M21" s="2"/>
      <c r="N21" s="6">
        <f t="shared" si="7"/>
        <v>7.403090074337644E-2</v>
      </c>
      <c r="O21" s="11"/>
      <c r="P21" s="7">
        <v>3453.44</v>
      </c>
      <c r="Q21" s="2"/>
      <c r="R21" s="6">
        <f t="shared" si="8"/>
        <v>1.3635408852213054E-2</v>
      </c>
      <c r="S21" s="2"/>
      <c r="T21" s="7">
        <v>3146.26</v>
      </c>
      <c r="U21" s="2"/>
      <c r="V21" s="6">
        <f t="shared" si="9"/>
        <v>2.6653733416919404E-2</v>
      </c>
      <c r="W21" s="2"/>
      <c r="X21" s="7">
        <f t="shared" si="10"/>
        <v>307.17999999999984</v>
      </c>
      <c r="Y21" s="2"/>
      <c r="Z21" s="6">
        <f t="shared" si="11"/>
        <v>9.7633380585202684E-2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7">
        <v>158.59</v>
      </c>
      <c r="E22" s="2"/>
      <c r="F22" s="6">
        <f t="shared" si="4"/>
        <v>9.1049489034332309E-3</v>
      </c>
      <c r="G22" s="2"/>
      <c r="H22" s="7">
        <v>82.4</v>
      </c>
      <c r="I22" s="2"/>
      <c r="J22" s="6">
        <f t="shared" si="5"/>
        <v>2.7275736511089047E-3</v>
      </c>
      <c r="K22" s="2"/>
      <c r="L22" s="7">
        <f t="shared" si="6"/>
        <v>76.19</v>
      </c>
      <c r="M22" s="2"/>
      <c r="N22" s="6">
        <f t="shared" si="7"/>
        <v>0.92463592233009695</v>
      </c>
      <c r="O22" s="11"/>
      <c r="P22" s="7">
        <v>496.73</v>
      </c>
      <c r="Q22" s="2"/>
      <c r="R22" s="6">
        <f t="shared" si="8"/>
        <v>1.9612666324475858E-3</v>
      </c>
      <c r="S22" s="2"/>
      <c r="T22" s="7">
        <v>244.49</v>
      </c>
      <c r="U22" s="2"/>
      <c r="V22" s="6">
        <f t="shared" si="9"/>
        <v>2.0712119415123432E-3</v>
      </c>
      <c r="W22" s="2"/>
      <c r="X22" s="7">
        <f t="shared" si="10"/>
        <v>252.24</v>
      </c>
      <c r="Y22" s="2"/>
      <c r="Z22" s="6">
        <f t="shared" si="11"/>
        <v>1.0316986379811035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7">
        <v>1054.3499999999999</v>
      </c>
      <c r="E23" s="2"/>
      <c r="F23" s="6">
        <f t="shared" si="4"/>
        <v>6.0532208060626931E-2</v>
      </c>
      <c r="G23" s="2"/>
      <c r="H23" s="7">
        <v>1250.75</v>
      </c>
      <c r="I23" s="2"/>
      <c r="J23" s="6">
        <f t="shared" si="5"/>
        <v>4.1401853690830853E-2</v>
      </c>
      <c r="K23" s="2"/>
      <c r="L23" s="7">
        <f t="shared" si="6"/>
        <v>-196.40000000000009</v>
      </c>
      <c r="M23" s="2"/>
      <c r="N23" s="6">
        <f t="shared" si="7"/>
        <v>-0.15702578452928251</v>
      </c>
      <c r="O23" s="11"/>
      <c r="P23" s="7">
        <v>3163.05</v>
      </c>
      <c r="Q23" s="2"/>
      <c r="R23" s="6">
        <f t="shared" si="8"/>
        <v>1.2488845895684449E-2</v>
      </c>
      <c r="S23" s="2"/>
      <c r="T23" s="7">
        <v>3711.65</v>
      </c>
      <c r="U23" s="2"/>
      <c r="V23" s="6">
        <f t="shared" si="9"/>
        <v>3.1443469273648363E-2</v>
      </c>
      <c r="W23" s="2"/>
      <c r="X23" s="7">
        <f t="shared" si="10"/>
        <v>-548.59999999999991</v>
      </c>
      <c r="Y23" s="2"/>
      <c r="Z23" s="6">
        <f t="shared" si="11"/>
        <v>-0.14780488462004765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31.46</v>
      </c>
      <c r="E24" s="2"/>
      <c r="F24" s="6">
        <f t="shared" si="4"/>
        <v>1.8061775175106213E-3</v>
      </c>
      <c r="G24" s="2"/>
      <c r="H24" s="7">
        <v>37.770000000000003</v>
      </c>
      <c r="I24" s="2"/>
      <c r="J24" s="6">
        <f t="shared" si="5"/>
        <v>1.2502482621648463E-3</v>
      </c>
      <c r="K24" s="2"/>
      <c r="L24" s="7">
        <f t="shared" si="6"/>
        <v>-6.3100000000000023</v>
      </c>
      <c r="M24" s="2"/>
      <c r="N24" s="6">
        <f t="shared" si="7"/>
        <v>-0.16706380725443479</v>
      </c>
      <c r="O24" s="11"/>
      <c r="P24" s="7">
        <v>98.1</v>
      </c>
      <c r="Q24" s="2"/>
      <c r="R24" s="6">
        <f t="shared" si="8"/>
        <v>3.8733367552414418E-4</v>
      </c>
      <c r="S24" s="2"/>
      <c r="T24" s="7">
        <v>111.17</v>
      </c>
      <c r="U24" s="2"/>
      <c r="V24" s="6">
        <f t="shared" si="9"/>
        <v>9.4178343301536745E-4</v>
      </c>
      <c r="W24" s="2"/>
      <c r="X24" s="7">
        <f t="shared" si="10"/>
        <v>-13.070000000000007</v>
      </c>
      <c r="Y24" s="2"/>
      <c r="Z24" s="6">
        <f t="shared" si="11"/>
        <v>-0.11756768912476394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7">
        <v>586.58000000000004</v>
      </c>
      <c r="E25" s="2"/>
      <c r="F25" s="6">
        <f t="shared" si="4"/>
        <v>3.3676656332529573E-2</v>
      </c>
      <c r="G25" s="2"/>
      <c r="H25" s="7">
        <v>640.35</v>
      </c>
      <c r="I25" s="2"/>
      <c r="J25" s="6">
        <f t="shared" si="5"/>
        <v>2.1196623634558095E-2</v>
      </c>
      <c r="K25" s="2"/>
      <c r="L25" s="7">
        <f t="shared" si="6"/>
        <v>-53.769999999999982</v>
      </c>
      <c r="M25" s="2"/>
      <c r="N25" s="6">
        <f t="shared" si="7"/>
        <v>-8.3969704068087736E-2</v>
      </c>
      <c r="O25" s="11"/>
      <c r="P25" s="7">
        <v>1759.74</v>
      </c>
      <c r="Q25" s="2"/>
      <c r="R25" s="6">
        <f t="shared" si="8"/>
        <v>6.9480791250444186E-3</v>
      </c>
      <c r="S25" s="2"/>
      <c r="T25" s="7">
        <v>2220.14</v>
      </c>
      <c r="U25" s="2"/>
      <c r="V25" s="6">
        <f t="shared" si="9"/>
        <v>1.8808051371545721E-2</v>
      </c>
      <c r="W25" s="2"/>
      <c r="X25" s="7">
        <f t="shared" si="10"/>
        <v>-460.39999999999986</v>
      </c>
      <c r="Y25" s="2"/>
      <c r="Z25" s="6">
        <f t="shared" si="11"/>
        <v>-0.2073743097282153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7"/>
      <c r="E26" s="2"/>
      <c r="F26" s="6">
        <f t="shared" si="4"/>
        <v>0</v>
      </c>
      <c r="G26" s="2"/>
      <c r="H26" s="7">
        <v>85.1</v>
      </c>
      <c r="I26" s="2"/>
      <c r="J26" s="6">
        <f t="shared" si="5"/>
        <v>2.8169480304534918E-3</v>
      </c>
      <c r="K26" s="2"/>
      <c r="L26" s="7">
        <f t="shared" si="6"/>
        <v>-85.1</v>
      </c>
      <c r="M26" s="2"/>
      <c r="N26" s="6">
        <f t="shared" si="7"/>
        <v>-1</v>
      </c>
      <c r="O26" s="11"/>
      <c r="P26" s="7">
        <v>215.15</v>
      </c>
      <c r="Q26" s="2"/>
      <c r="R26" s="6">
        <f t="shared" si="8"/>
        <v>8.4948868796146408E-4</v>
      </c>
      <c r="S26" s="2"/>
      <c r="T26" s="7">
        <v>285.10000000000002</v>
      </c>
      <c r="U26" s="2"/>
      <c r="V26" s="6">
        <f t="shared" si="9"/>
        <v>2.4152420324969081E-3</v>
      </c>
      <c r="W26" s="2"/>
      <c r="X26" s="7">
        <f t="shared" si="10"/>
        <v>-69.950000000000017</v>
      </c>
      <c r="Y26" s="2"/>
      <c r="Z26" s="6">
        <f t="shared" si="11"/>
        <v>-0.24535250789196777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7">
        <v>413.76</v>
      </c>
      <c r="E27" s="2"/>
      <c r="F27" s="6">
        <f t="shared" si="4"/>
        <v>2.3754736479503959E-2</v>
      </c>
      <c r="G27" s="2"/>
      <c r="H27" s="7">
        <v>520.02</v>
      </c>
      <c r="I27" s="2"/>
      <c r="J27" s="6">
        <f t="shared" si="5"/>
        <v>1.7213505461767625E-2</v>
      </c>
      <c r="K27" s="2"/>
      <c r="L27" s="7">
        <f t="shared" si="6"/>
        <v>-106.25999999999999</v>
      </c>
      <c r="M27" s="2"/>
      <c r="N27" s="6">
        <f t="shared" si="7"/>
        <v>-0.20433829468097381</v>
      </c>
      <c r="O27" s="11"/>
      <c r="P27" s="7">
        <v>1241.28</v>
      </c>
      <c r="Q27" s="2"/>
      <c r="R27" s="6">
        <f t="shared" si="8"/>
        <v>4.9010147273660523E-3</v>
      </c>
      <c r="S27" s="2"/>
      <c r="T27" s="7">
        <v>1560.06</v>
      </c>
      <c r="U27" s="2"/>
      <c r="V27" s="6">
        <f t="shared" si="9"/>
        <v>1.3216143406584096E-2</v>
      </c>
      <c r="W27" s="2"/>
      <c r="X27" s="7">
        <f t="shared" si="10"/>
        <v>-318.77999999999997</v>
      </c>
      <c r="Y27" s="2"/>
      <c r="Z27" s="6">
        <f t="shared" si="11"/>
        <v>-0.20433829468097381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7">
        <v>266.91000000000003</v>
      </c>
      <c r="E28" s="2"/>
      <c r="F28" s="6">
        <f t="shared" si="4"/>
        <v>1.5323802962452636E-2</v>
      </c>
      <c r="G28" s="2"/>
      <c r="H28" s="7">
        <v>299.26</v>
      </c>
      <c r="I28" s="2"/>
      <c r="J28" s="6">
        <f t="shared" si="5"/>
        <v>9.9059913935782857E-3</v>
      </c>
      <c r="K28" s="2"/>
      <c r="L28" s="7">
        <f t="shared" si="6"/>
        <v>-32.349999999999966</v>
      </c>
      <c r="M28" s="2"/>
      <c r="N28" s="6">
        <f t="shared" si="7"/>
        <v>-0.10809997995054457</v>
      </c>
      <c r="O28" s="11"/>
      <c r="P28" s="7">
        <v>800.73</v>
      </c>
      <c r="Q28" s="2"/>
      <c r="R28" s="6">
        <f t="shared" si="8"/>
        <v>3.1615667074663405E-3</v>
      </c>
      <c r="S28" s="2"/>
      <c r="T28" s="7">
        <v>897.78</v>
      </c>
      <c r="U28" s="2"/>
      <c r="V28" s="6">
        <f t="shared" si="9"/>
        <v>7.6055980074888601E-3</v>
      </c>
      <c r="W28" s="2"/>
      <c r="X28" s="7">
        <f t="shared" si="10"/>
        <v>-97.049999999999955</v>
      </c>
      <c r="Y28" s="2"/>
      <c r="Z28" s="6">
        <f t="shared" si="11"/>
        <v>-0.10809997995054463</v>
      </c>
    </row>
    <row r="29" spans="1:26" s="27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13682.830000000002</v>
      </c>
      <c r="E29" s="1"/>
      <c r="F29" s="5">
        <f t="shared" ref="F29:F35" si="12">IF(D$12=0,0,D29/D$12)</f>
        <v>0.78555689516592042</v>
      </c>
      <c r="G29" s="1"/>
      <c r="H29" s="1">
        <f>SUM(OSRRefH22_1x_0)</f>
        <v>13598.04</v>
      </c>
      <c r="I29" s="1"/>
      <c r="J29" s="5">
        <f t="shared" ref="J29:J35" si="13">IF(H$12=0,0,H29/H$12)</f>
        <v>0.45011717974180737</v>
      </c>
      <c r="K29" s="1"/>
      <c r="L29" s="1">
        <f t="shared" ref="L29:L35" si="14">+D29-H29</f>
        <v>84.790000000000873</v>
      </c>
      <c r="M29" s="1"/>
      <c r="N29" s="5">
        <f t="shared" ref="N29:N35" si="15">IF(H29=0,0,L29/H29)</f>
        <v>6.2354574629873765E-3</v>
      </c>
      <c r="O29" s="14"/>
      <c r="P29" s="1">
        <f>SUM(OSRRefP22_1x_0)</f>
        <v>50138.5</v>
      </c>
      <c r="Q29" s="1"/>
      <c r="R29" s="5">
        <f t="shared" ref="R29:R35" si="16">IF(P$12=0,0,P29/P$12)</f>
        <v>0.19796462273463103</v>
      </c>
      <c r="S29" s="1"/>
      <c r="T29" s="1">
        <f>SUM(OSRRefT22_1x_0)</f>
        <v>46046.859999999993</v>
      </c>
      <c r="U29" s="1"/>
      <c r="V29" s="5">
        <f t="shared" ref="V29:V35" si="17">IF(T$12=0,0,T29/T$12)</f>
        <v>0.39008878195896368</v>
      </c>
      <c r="W29" s="1"/>
      <c r="X29" s="1">
        <f t="shared" ref="X29:X35" si="18">+P29-T29</f>
        <v>4091.6400000000067</v>
      </c>
      <c r="Y29" s="1"/>
      <c r="Z29" s="5">
        <f t="shared" ref="Z29:Z35" si="19">IF(T29=0,0,X29/T29)</f>
        <v>8.8858176214404352E-2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7">
        <v>4479.1000000000004</v>
      </c>
      <c r="E30" s="2"/>
      <c r="F30" s="6">
        <f t="shared" si="12"/>
        <v>0.25715351934780117</v>
      </c>
      <c r="G30" s="2"/>
      <c r="H30" s="7">
        <v>4205.72</v>
      </c>
      <c r="I30" s="2"/>
      <c r="J30" s="6">
        <f t="shared" si="13"/>
        <v>0.139216153591526</v>
      </c>
      <c r="K30" s="2"/>
      <c r="L30" s="7">
        <f t="shared" si="14"/>
        <v>273.38000000000011</v>
      </c>
      <c r="M30" s="2"/>
      <c r="N30" s="6">
        <f t="shared" si="15"/>
        <v>6.500194972561181E-2</v>
      </c>
      <c r="O30" s="11"/>
      <c r="P30" s="7">
        <v>14557.3</v>
      </c>
      <c r="Q30" s="2"/>
      <c r="R30" s="6">
        <f t="shared" si="16"/>
        <v>5.7477395664705645E-2</v>
      </c>
      <c r="S30" s="2"/>
      <c r="T30" s="7">
        <v>13669.16</v>
      </c>
      <c r="U30" s="2"/>
      <c r="V30" s="6">
        <f t="shared" si="17"/>
        <v>0.11579912234628352</v>
      </c>
      <c r="W30" s="2"/>
      <c r="X30" s="7">
        <f t="shared" si="18"/>
        <v>888.13999999999942</v>
      </c>
      <c r="Y30" s="2"/>
      <c r="Z30" s="6">
        <f t="shared" si="19"/>
        <v>6.4973999865390375E-2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7">
        <v>1307.68</v>
      </c>
      <c r="E31" s="2"/>
      <c r="F31" s="6">
        <f t="shared" si="12"/>
        <v>7.5076357790791137E-2</v>
      </c>
      <c r="G31" s="2"/>
      <c r="H31" s="7">
        <v>2282.3000000000002</v>
      </c>
      <c r="I31" s="2"/>
      <c r="J31" s="6">
        <f t="shared" si="13"/>
        <v>7.5547831843760349E-2</v>
      </c>
      <c r="K31" s="2"/>
      <c r="L31" s="7">
        <f t="shared" si="14"/>
        <v>-974.62000000000012</v>
      </c>
      <c r="M31" s="2"/>
      <c r="N31" s="6">
        <f t="shared" si="15"/>
        <v>-0.42703413223502606</v>
      </c>
      <c r="O31" s="11"/>
      <c r="P31" s="7">
        <v>8055.98</v>
      </c>
      <c r="Q31" s="2"/>
      <c r="R31" s="6">
        <f t="shared" si="16"/>
        <v>3.18078730208868E-2</v>
      </c>
      <c r="S31" s="2"/>
      <c r="T31" s="7">
        <v>6961.44</v>
      </c>
      <c r="U31" s="2"/>
      <c r="V31" s="6">
        <f t="shared" si="17"/>
        <v>5.8974263397773667E-2</v>
      </c>
      <c r="W31" s="2"/>
      <c r="X31" s="7">
        <f t="shared" si="18"/>
        <v>1094.54</v>
      </c>
      <c r="Y31" s="2"/>
      <c r="Z31" s="6">
        <f t="shared" si="19"/>
        <v>0.15722896412236548</v>
      </c>
    </row>
    <row r="32" spans="1:26" s="24" customFormat="1" hidden="1" outlineLevel="2" x14ac:dyDescent="0.25">
      <c r="A32" s="28"/>
      <c r="B32" s="11" t="str">
        <f>CONCATENATE("          ", "6004", " - ", "STAFF HOURLY")</f>
        <v xml:space="preserve">          6004 - STAFF HOURLY</v>
      </c>
      <c r="C32" s="11"/>
      <c r="D32" s="7">
        <v>2588</v>
      </c>
      <c r="E32" s="2"/>
      <c r="F32" s="6">
        <f t="shared" si="12"/>
        <v>0.14858192674245033</v>
      </c>
      <c r="G32" s="2"/>
      <c r="H32" s="7"/>
      <c r="I32" s="2"/>
      <c r="J32" s="6">
        <f t="shared" si="13"/>
        <v>0</v>
      </c>
      <c r="K32" s="2"/>
      <c r="L32" s="7">
        <f t="shared" si="14"/>
        <v>2588</v>
      </c>
      <c r="M32" s="2"/>
      <c r="N32" s="6">
        <f t="shared" si="15"/>
        <v>0</v>
      </c>
      <c r="O32" s="11"/>
      <c r="P32" s="7">
        <v>4910.3999999999996</v>
      </c>
      <c r="Q32" s="2"/>
      <c r="R32" s="6">
        <f t="shared" si="16"/>
        <v>1.938800489596083E-2</v>
      </c>
      <c r="S32" s="2"/>
      <c r="T32" s="7"/>
      <c r="U32" s="2"/>
      <c r="V32" s="6">
        <f t="shared" si="17"/>
        <v>0</v>
      </c>
      <c r="W32" s="2"/>
      <c r="X32" s="7">
        <f t="shared" si="18"/>
        <v>4910.3999999999996</v>
      </c>
      <c r="Y32" s="2"/>
      <c r="Z32" s="6">
        <f t="shared" si="19"/>
        <v>0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7">
        <v>5433.05</v>
      </c>
      <c r="E33" s="2"/>
      <c r="F33" s="6">
        <f t="shared" si="12"/>
        <v>0.31192157538178894</v>
      </c>
      <c r="G33" s="2"/>
      <c r="H33" s="7">
        <v>6363.16</v>
      </c>
      <c r="I33" s="2"/>
      <c r="J33" s="6">
        <f t="shared" si="13"/>
        <v>0.21063091691492883</v>
      </c>
      <c r="K33" s="2"/>
      <c r="L33" s="7">
        <f t="shared" si="14"/>
        <v>-930.10999999999967</v>
      </c>
      <c r="M33" s="2"/>
      <c r="N33" s="6">
        <f t="shared" si="15"/>
        <v>-0.14617108480691979</v>
      </c>
      <c r="O33" s="11"/>
      <c r="P33" s="7">
        <v>18843.12</v>
      </c>
      <c r="Q33" s="2"/>
      <c r="R33" s="6">
        <f t="shared" si="16"/>
        <v>7.4399336676274325E-2</v>
      </c>
      <c r="S33" s="2"/>
      <c r="T33" s="7">
        <v>21005.52</v>
      </c>
      <c r="U33" s="2"/>
      <c r="V33" s="6">
        <f t="shared" si="17"/>
        <v>0.17794954338286373</v>
      </c>
      <c r="W33" s="2"/>
      <c r="X33" s="7">
        <f t="shared" si="18"/>
        <v>-2162.4000000000015</v>
      </c>
      <c r="Y33" s="2"/>
      <c r="Z33" s="6">
        <f t="shared" si="19"/>
        <v>-0.10294436890874406</v>
      </c>
    </row>
    <row r="34" spans="1:26" s="24" customFormat="1" hidden="1" outlineLevel="2" x14ac:dyDescent="0.25">
      <c r="A34" s="28"/>
      <c r="B34" s="11" t="str">
        <f>CONCATENATE("          ", "6007", " - ", "STUDENT HOURLY")</f>
        <v xml:space="preserve">          6007 - STUDENT HOURLY</v>
      </c>
      <c r="C34" s="11"/>
      <c r="D34" s="7">
        <v>-125</v>
      </c>
      <c r="E34" s="2"/>
      <c r="F34" s="6">
        <f t="shared" si="12"/>
        <v>-7.1764840969112415E-3</v>
      </c>
      <c r="G34" s="2"/>
      <c r="H34" s="7">
        <v>-96.5</v>
      </c>
      <c r="I34" s="2"/>
      <c r="J34" s="6">
        <f t="shared" si="13"/>
        <v>-3.1943065210195301E-3</v>
      </c>
      <c r="K34" s="2"/>
      <c r="L34" s="7">
        <f t="shared" si="14"/>
        <v>-28.5</v>
      </c>
      <c r="M34" s="2"/>
      <c r="N34" s="6">
        <f t="shared" si="15"/>
        <v>0.29533678756476683</v>
      </c>
      <c r="O34" s="11"/>
      <c r="P34" s="7">
        <v>3771.7</v>
      </c>
      <c r="Q34" s="2"/>
      <c r="R34" s="6">
        <f t="shared" si="16"/>
        <v>1.4892012476803411E-2</v>
      </c>
      <c r="S34" s="2"/>
      <c r="T34" s="7">
        <v>3567.38</v>
      </c>
      <c r="U34" s="2"/>
      <c r="V34" s="6">
        <f t="shared" si="17"/>
        <v>3.0221277172531813E-2</v>
      </c>
      <c r="W34" s="2"/>
      <c r="X34" s="7">
        <f t="shared" si="18"/>
        <v>204.31999999999971</v>
      </c>
      <c r="Y34" s="2"/>
      <c r="Z34" s="6">
        <f t="shared" si="19"/>
        <v>5.7274526403130507E-2</v>
      </c>
    </row>
    <row r="35" spans="1:26" s="24" customFormat="1" hidden="1" outlineLevel="2" x14ac:dyDescent="0.25">
      <c r="A35" s="28"/>
      <c r="B35" s="11" t="str">
        <f>CONCATENATE("          ", "6008", " - ", "STUDENT HOURLY-FICA EXEMPT")</f>
        <v xml:space="preserve">          6008 - STUDENT HOURLY-FICA EXEMPT</v>
      </c>
      <c r="C35" s="11"/>
      <c r="D35" s="7"/>
      <c r="E35" s="2"/>
      <c r="F35" s="6">
        <f t="shared" si="12"/>
        <v>0</v>
      </c>
      <c r="G35" s="2"/>
      <c r="H35" s="7">
        <v>843.36</v>
      </c>
      <c r="I35" s="2"/>
      <c r="J35" s="6">
        <f t="shared" si="13"/>
        <v>2.7916583912611717E-2</v>
      </c>
      <c r="K35" s="2"/>
      <c r="L35" s="7">
        <f t="shared" si="14"/>
        <v>-843.36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843.36</v>
      </c>
      <c r="U35" s="2"/>
      <c r="V35" s="6">
        <f t="shared" si="17"/>
        <v>7.1445756595110215E-3</v>
      </c>
      <c r="W35" s="2"/>
      <c r="X35" s="7">
        <f t="shared" si="18"/>
        <v>-843.36</v>
      </c>
      <c r="Y35" s="2"/>
      <c r="Z35" s="6">
        <f t="shared" si="19"/>
        <v>-1</v>
      </c>
    </row>
    <row r="36" spans="1:26" s="27" customFormat="1" outlineLevel="1" collapsed="1" x14ac:dyDescent="0.25">
      <c r="A36" s="29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17.64</v>
      </c>
      <c r="E36" s="1"/>
      <c r="F36" s="5">
        <f t="shared" ref="F36:F42" si="20">IF(D$12=0,0,D36/D$12)</f>
        <v>1.0127454357561144E-3</v>
      </c>
      <c r="G36" s="1"/>
      <c r="H36" s="1">
        <f>SUM(OSRRefH22_2x_0)</f>
        <v>0</v>
      </c>
      <c r="I36" s="1"/>
      <c r="J36" s="5">
        <f t="shared" ref="J36:J42" si="21">IF(H$12=0,0,H36/H$12)</f>
        <v>0</v>
      </c>
      <c r="K36" s="1"/>
      <c r="L36" s="1">
        <f t="shared" ref="L36:L42" si="22">+D36-H36</f>
        <v>17.64</v>
      </c>
      <c r="M36" s="1"/>
      <c r="N36" s="5">
        <f t="shared" ref="N36:N42" si="23">IF(H36=0,0,L36/H36)</f>
        <v>0</v>
      </c>
      <c r="O36" s="14"/>
      <c r="P36" s="1">
        <f>SUM(OSRRefP22_2x_0)</f>
        <v>35.28</v>
      </c>
      <c r="Q36" s="1"/>
      <c r="R36" s="5">
        <f t="shared" ref="R36:R42" si="24">IF(P$12=0,0,P36/P$12)</f>
        <v>1.3929798239033442E-4</v>
      </c>
      <c r="S36" s="1"/>
      <c r="T36" s="1">
        <f>SUM(OSRRefT22_2x_0)</f>
        <v>0</v>
      </c>
      <c r="U36" s="1"/>
      <c r="V36" s="5">
        <f t="shared" ref="V36:V42" si="25">IF(T$12=0,0,T36/T$12)</f>
        <v>0</v>
      </c>
      <c r="W36" s="1"/>
      <c r="X36" s="1">
        <f t="shared" ref="X36:X42" si="26">+P36-T36</f>
        <v>35.28</v>
      </c>
      <c r="Y36" s="1"/>
      <c r="Z36" s="5">
        <f t="shared" ref="Z36:Z42" si="27">IF(T36=0,0,X36/T36)</f>
        <v>0</v>
      </c>
    </row>
    <row r="37" spans="1:26" s="24" customFormat="1" hidden="1" outlineLevel="2" x14ac:dyDescent="0.25">
      <c r="A37" s="28"/>
      <c r="B37" s="11" t="str">
        <f>CONCATENATE("          ", "6362", " - ", "ADVERTISING EXPENSE")</f>
        <v xml:space="preserve">          6362 - ADVERTISING EXPENSE</v>
      </c>
      <c r="C37" s="11"/>
      <c r="D37" s="7">
        <v>17.64</v>
      </c>
      <c r="E37" s="2"/>
      <c r="F37" s="6">
        <f t="shared" si="20"/>
        <v>1.0127454357561144E-3</v>
      </c>
      <c r="G37" s="2"/>
      <c r="H37" s="7"/>
      <c r="I37" s="2"/>
      <c r="J37" s="6">
        <f t="shared" si="21"/>
        <v>0</v>
      </c>
      <c r="K37" s="2"/>
      <c r="L37" s="7">
        <f t="shared" si="22"/>
        <v>17.64</v>
      </c>
      <c r="M37" s="2"/>
      <c r="N37" s="6">
        <f t="shared" si="23"/>
        <v>0</v>
      </c>
      <c r="O37" s="11"/>
      <c r="P37" s="7">
        <v>35.28</v>
      </c>
      <c r="Q37" s="2"/>
      <c r="R37" s="6">
        <f t="shared" si="24"/>
        <v>1.3929798239033442E-4</v>
      </c>
      <c r="S37" s="2"/>
      <c r="T37" s="7"/>
      <c r="U37" s="2"/>
      <c r="V37" s="6">
        <f t="shared" si="25"/>
        <v>0</v>
      </c>
      <c r="W37" s="2"/>
      <c r="X37" s="7">
        <f t="shared" si="26"/>
        <v>35.28</v>
      </c>
      <c r="Y37" s="2"/>
      <c r="Z37" s="6">
        <f t="shared" si="27"/>
        <v>0</v>
      </c>
    </row>
    <row r="38" spans="1:26" s="27" customFormat="1" outlineLevel="1" collapsed="1" x14ac:dyDescent="0.25">
      <c r="A38" s="29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460.95</v>
      </c>
      <c r="E38" s="1"/>
      <c r="F38" s="5">
        <f t="shared" si="20"/>
        <v>2.6464002755769891E-2</v>
      </c>
      <c r="G38" s="1"/>
      <c r="H38" s="1">
        <f>SUM(OSRRefH22_3x_0)</f>
        <v>94</v>
      </c>
      <c r="I38" s="1"/>
      <c r="J38" s="5">
        <f t="shared" si="21"/>
        <v>3.1115524660708374E-3</v>
      </c>
      <c r="K38" s="1"/>
      <c r="L38" s="1">
        <f t="shared" si="22"/>
        <v>366.95</v>
      </c>
      <c r="M38" s="1"/>
      <c r="N38" s="5">
        <f t="shared" si="23"/>
        <v>3.9037234042553188</v>
      </c>
      <c r="O38" s="14"/>
      <c r="P38" s="1">
        <f>SUM(OSRRefP22_3x_0)</f>
        <v>972.21</v>
      </c>
      <c r="Q38" s="1"/>
      <c r="R38" s="5">
        <f t="shared" si="24"/>
        <v>3.8386307103091565E-3</v>
      </c>
      <c r="S38" s="1"/>
      <c r="T38" s="1">
        <f>SUM(OSRRefT22_3x_0)</f>
        <v>464.43</v>
      </c>
      <c r="U38" s="1"/>
      <c r="V38" s="5">
        <f t="shared" si="25"/>
        <v>3.9344470612154995E-3</v>
      </c>
      <c r="W38" s="1"/>
      <c r="X38" s="1">
        <f t="shared" si="26"/>
        <v>507.78000000000003</v>
      </c>
      <c r="Y38" s="1"/>
      <c r="Z38" s="5">
        <f t="shared" si="27"/>
        <v>1.093340223499774</v>
      </c>
    </row>
    <row r="39" spans="1:26" s="24" customFormat="1" hidden="1" outlineLevel="2" x14ac:dyDescent="0.25">
      <c r="A39" s="28"/>
      <c r="B39" s="11" t="str">
        <f>CONCATENATE("          ", "6381", " - ", "BANK/CREDIT CARD FEES")</f>
        <v xml:space="preserve">          6381 - BANK/CREDIT CARD FEES</v>
      </c>
      <c r="C39" s="11"/>
      <c r="D39" s="7">
        <v>460.95</v>
      </c>
      <c r="E39" s="2"/>
      <c r="F39" s="6">
        <f t="shared" si="20"/>
        <v>2.6464002755769891E-2</v>
      </c>
      <c r="G39" s="2"/>
      <c r="H39" s="7">
        <v>94</v>
      </c>
      <c r="I39" s="2"/>
      <c r="J39" s="6">
        <f t="shared" si="21"/>
        <v>3.1115524660708374E-3</v>
      </c>
      <c r="K39" s="2"/>
      <c r="L39" s="7">
        <f t="shared" si="22"/>
        <v>366.95</v>
      </c>
      <c r="M39" s="2"/>
      <c r="N39" s="6">
        <f t="shared" si="23"/>
        <v>3.9037234042553188</v>
      </c>
      <c r="O39" s="11"/>
      <c r="P39" s="7">
        <v>972.21</v>
      </c>
      <c r="Q39" s="2"/>
      <c r="R39" s="6">
        <f t="shared" si="24"/>
        <v>3.8386307103091565E-3</v>
      </c>
      <c r="S39" s="2"/>
      <c r="T39" s="7">
        <v>464.43</v>
      </c>
      <c r="U39" s="2"/>
      <c r="V39" s="6">
        <f t="shared" si="25"/>
        <v>3.9344470612154995E-3</v>
      </c>
      <c r="W39" s="2"/>
      <c r="X39" s="7">
        <f t="shared" si="26"/>
        <v>507.78000000000003</v>
      </c>
      <c r="Y39" s="2"/>
      <c r="Z39" s="6">
        <f t="shared" si="27"/>
        <v>1.093340223499774</v>
      </c>
    </row>
    <row r="40" spans="1:26" s="27" customFormat="1" outlineLevel="1" collapsed="1" x14ac:dyDescent="0.25">
      <c r="A40" s="29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SUM(OSRRefD22_4x_0)</f>
        <v>0.31</v>
      </c>
      <c r="E40" s="1"/>
      <c r="F40" s="5">
        <f t="shared" si="20"/>
        <v>1.7797680560339877E-5</v>
      </c>
      <c r="G40" s="1"/>
      <c r="H40" s="1">
        <f>SUM(OSRRefH22_4x_0)</f>
        <v>0.5</v>
      </c>
      <c r="I40" s="1"/>
      <c r="J40" s="5">
        <f t="shared" si="21"/>
        <v>1.6550810989738498E-5</v>
      </c>
      <c r="K40" s="1"/>
      <c r="L40" s="1">
        <f t="shared" si="22"/>
        <v>-0.19</v>
      </c>
      <c r="M40" s="1"/>
      <c r="N40" s="5">
        <f t="shared" si="23"/>
        <v>-0.38</v>
      </c>
      <c r="O40" s="14"/>
      <c r="P40" s="1">
        <f>SUM(OSRRefP22_4x_0)</f>
        <v>0.31</v>
      </c>
      <c r="Q40" s="1"/>
      <c r="R40" s="5">
        <f t="shared" si="24"/>
        <v>1.2239902080783354E-6</v>
      </c>
      <c r="S40" s="1"/>
      <c r="T40" s="1">
        <f>SUM(OSRRefT22_4x_0)</f>
        <v>0.79</v>
      </c>
      <c r="U40" s="1"/>
      <c r="V40" s="5">
        <f t="shared" si="25"/>
        <v>6.6925331661611973E-6</v>
      </c>
      <c r="W40" s="1"/>
      <c r="X40" s="1">
        <f t="shared" si="26"/>
        <v>-0.48000000000000004</v>
      </c>
      <c r="Y40" s="1"/>
      <c r="Z40" s="5">
        <f t="shared" si="27"/>
        <v>-0.60759493670886078</v>
      </c>
    </row>
    <row r="41" spans="1:26" s="24" customFormat="1" hidden="1" outlineLevel="2" x14ac:dyDescent="0.25">
      <c r="A41" s="28"/>
      <c r="B41" s="11" t="str">
        <f>CONCATENATE("          ", "6305", " - ", "FREIGHT OUT")</f>
        <v xml:space="preserve">          6305 - FREIGHT OUT</v>
      </c>
      <c r="C41" s="11"/>
      <c r="D41" s="7">
        <v>0.31</v>
      </c>
      <c r="E41" s="2"/>
      <c r="F41" s="6">
        <f t="shared" si="20"/>
        <v>1.7797680560339877E-5</v>
      </c>
      <c r="G41" s="2"/>
      <c r="H41" s="7"/>
      <c r="I41" s="2"/>
      <c r="J41" s="6">
        <f t="shared" si="21"/>
        <v>0</v>
      </c>
      <c r="K41" s="2"/>
      <c r="L41" s="7">
        <f t="shared" si="22"/>
        <v>0.31</v>
      </c>
      <c r="M41" s="2"/>
      <c r="N41" s="6">
        <f t="shared" si="23"/>
        <v>0</v>
      </c>
      <c r="O41" s="11"/>
      <c r="P41" s="7">
        <v>0.31</v>
      </c>
      <c r="Q41" s="2"/>
      <c r="R41" s="6">
        <f t="shared" si="24"/>
        <v>1.2239902080783354E-6</v>
      </c>
      <c r="S41" s="2"/>
      <c r="T41" s="7">
        <v>0.28999999999999998</v>
      </c>
      <c r="U41" s="2"/>
      <c r="V41" s="6">
        <f t="shared" si="25"/>
        <v>2.4567526812490469E-6</v>
      </c>
      <c r="W41" s="2"/>
      <c r="X41" s="7">
        <f t="shared" si="26"/>
        <v>2.0000000000000018E-2</v>
      </c>
      <c r="Y41" s="2"/>
      <c r="Z41" s="6">
        <f t="shared" si="27"/>
        <v>6.8965517241379379E-2</v>
      </c>
    </row>
    <row r="42" spans="1:26" s="24" customFormat="1" hidden="1" outlineLevel="2" x14ac:dyDescent="0.25">
      <c r="A42" s="28"/>
      <c r="B42" s="11" t="str">
        <f>CONCATENATE("          ", "6307", " - ", "POSTAGE")</f>
        <v xml:space="preserve">          6307 - POSTAGE</v>
      </c>
      <c r="C42" s="11"/>
      <c r="D42" s="7"/>
      <c r="E42" s="2"/>
      <c r="F42" s="6">
        <f t="shared" si="20"/>
        <v>0</v>
      </c>
      <c r="G42" s="2"/>
      <c r="H42" s="7">
        <v>0.5</v>
      </c>
      <c r="I42" s="2"/>
      <c r="J42" s="6">
        <f t="shared" si="21"/>
        <v>1.6550810989738498E-5</v>
      </c>
      <c r="K42" s="2"/>
      <c r="L42" s="7">
        <f t="shared" si="22"/>
        <v>-0.5</v>
      </c>
      <c r="M42" s="2"/>
      <c r="N42" s="6">
        <f t="shared" si="23"/>
        <v>-1</v>
      </c>
      <c r="O42" s="11"/>
      <c r="P42" s="7"/>
      <c r="Q42" s="2"/>
      <c r="R42" s="6">
        <f t="shared" si="24"/>
        <v>0</v>
      </c>
      <c r="S42" s="2"/>
      <c r="T42" s="7">
        <v>0.5</v>
      </c>
      <c r="U42" s="2"/>
      <c r="V42" s="6">
        <f t="shared" si="25"/>
        <v>4.2357804849121496E-6</v>
      </c>
      <c r="W42" s="2"/>
      <c r="X42" s="7">
        <f t="shared" si="26"/>
        <v>-0.5</v>
      </c>
      <c r="Y42" s="2"/>
      <c r="Z42" s="6">
        <f t="shared" si="27"/>
        <v>-1</v>
      </c>
    </row>
    <row r="43" spans="1:26" s="27" customFormat="1" outlineLevel="1" collapsed="1" x14ac:dyDescent="0.25">
      <c r="A43" s="29"/>
      <c r="B43" s="14" t="str">
        <f>CONCATENATE("     ","Insurance                                         ")</f>
        <v xml:space="preserve">     Insurance                                         </v>
      </c>
      <c r="C43" s="14"/>
      <c r="D43" s="1">
        <f>SUM(OSRRefD22_5x_0)</f>
        <v>39.43</v>
      </c>
      <c r="E43" s="1"/>
      <c r="F43" s="5">
        <f t="shared" ref="F43:F49" si="28">IF(D$12=0,0,D43/D$12)</f>
        <v>2.2637501435296818E-3</v>
      </c>
      <c r="G43" s="1"/>
      <c r="H43" s="1">
        <f>SUM(OSRRefH22_5x_0)</f>
        <v>29.01</v>
      </c>
      <c r="I43" s="1"/>
      <c r="J43" s="5">
        <f t="shared" ref="J43:J49" si="29">IF(H$12=0,0,H43/H$12)</f>
        <v>9.602780536246277E-4</v>
      </c>
      <c r="K43" s="1"/>
      <c r="L43" s="1">
        <f t="shared" ref="L43:L49" si="30">+D43-H43</f>
        <v>10.419999999999998</v>
      </c>
      <c r="M43" s="1"/>
      <c r="N43" s="5">
        <f t="shared" ref="N43:N49" si="31">IF(H43=0,0,L43/H43)</f>
        <v>0.35918648741813158</v>
      </c>
      <c r="O43" s="14"/>
      <c r="P43" s="1">
        <f>SUM(OSRRefP22_5x_0)</f>
        <v>118.29</v>
      </c>
      <c r="Q43" s="1"/>
      <c r="R43" s="5">
        <f t="shared" ref="R43:R49" si="32">IF(P$12=0,0,P43/P$12)</f>
        <v>4.6705097326963323E-4</v>
      </c>
      <c r="S43" s="1"/>
      <c r="T43" s="1">
        <f>SUM(OSRRefT22_5x_0)</f>
        <v>87.03</v>
      </c>
      <c r="U43" s="1"/>
      <c r="V43" s="5">
        <f t="shared" ref="V43:V49" si="33">IF(T$12=0,0,T43/T$12)</f>
        <v>7.3727995120380883E-4</v>
      </c>
      <c r="W43" s="1"/>
      <c r="X43" s="1">
        <f t="shared" ref="X43:X49" si="34">+P43-T43</f>
        <v>31.260000000000005</v>
      </c>
      <c r="Y43" s="1"/>
      <c r="Z43" s="5">
        <f t="shared" ref="Z43:Z49" si="35">IF(T43=0,0,X43/T43)</f>
        <v>0.35918648741813175</v>
      </c>
    </row>
    <row r="44" spans="1:26" s="24" customFormat="1" hidden="1" outlineLevel="2" x14ac:dyDescent="0.25">
      <c r="A44" s="28"/>
      <c r="B44" s="11" t="str">
        <f>CONCATENATE("          ", "6314", " - ", "LIABILITY INSURANCE")</f>
        <v xml:space="preserve">          6314 - LIABILITY INSURANCE</v>
      </c>
      <c r="C44" s="11"/>
      <c r="D44" s="7">
        <v>39.43</v>
      </c>
      <c r="E44" s="2"/>
      <c r="F44" s="6">
        <f t="shared" si="28"/>
        <v>2.2637501435296818E-3</v>
      </c>
      <c r="G44" s="2"/>
      <c r="H44" s="7">
        <v>29.01</v>
      </c>
      <c r="I44" s="2"/>
      <c r="J44" s="6">
        <f t="shared" si="29"/>
        <v>9.602780536246277E-4</v>
      </c>
      <c r="K44" s="2"/>
      <c r="L44" s="7">
        <f t="shared" si="30"/>
        <v>10.419999999999998</v>
      </c>
      <c r="M44" s="2"/>
      <c r="N44" s="6">
        <f t="shared" si="31"/>
        <v>0.35918648741813158</v>
      </c>
      <c r="O44" s="11"/>
      <c r="P44" s="7">
        <v>118.29</v>
      </c>
      <c r="Q44" s="2"/>
      <c r="R44" s="6">
        <f t="shared" si="32"/>
        <v>4.6705097326963323E-4</v>
      </c>
      <c r="S44" s="2"/>
      <c r="T44" s="7">
        <v>87.03</v>
      </c>
      <c r="U44" s="2"/>
      <c r="V44" s="6">
        <f t="shared" si="33"/>
        <v>7.3727995120380883E-4</v>
      </c>
      <c r="W44" s="2"/>
      <c r="X44" s="7">
        <f t="shared" si="34"/>
        <v>31.260000000000005</v>
      </c>
      <c r="Y44" s="2"/>
      <c r="Z44" s="6">
        <f t="shared" si="35"/>
        <v>0.35918648741813175</v>
      </c>
    </row>
    <row r="45" spans="1:26" s="27" customFormat="1" outlineLevel="1" collapsed="1" x14ac:dyDescent="0.25">
      <c r="A45" s="29"/>
      <c r="B45" s="14" t="str">
        <f>CONCATENATE("     ","Rent                                              ")</f>
        <v xml:space="preserve">     Rent                                              </v>
      </c>
      <c r="C45" s="14"/>
      <c r="D45" s="1">
        <f>SUM(OSRRefD22_6x_0)</f>
        <v>800</v>
      </c>
      <c r="E45" s="1"/>
      <c r="F45" s="5">
        <f t="shared" si="28"/>
        <v>4.5929498220231943E-2</v>
      </c>
      <c r="G45" s="1"/>
      <c r="H45" s="1">
        <f>SUM(OSRRefH22_6x_0)</f>
        <v>800</v>
      </c>
      <c r="I45" s="1"/>
      <c r="J45" s="5">
        <f t="shared" si="29"/>
        <v>2.6481297583581597E-2</v>
      </c>
      <c r="K45" s="1"/>
      <c r="L45" s="1">
        <f t="shared" si="30"/>
        <v>0</v>
      </c>
      <c r="M45" s="1"/>
      <c r="N45" s="5">
        <f t="shared" si="31"/>
        <v>0</v>
      </c>
      <c r="O45" s="14"/>
      <c r="P45" s="1">
        <f>SUM(OSRRefP22_6x_0)</f>
        <v>2400</v>
      </c>
      <c r="Q45" s="1"/>
      <c r="R45" s="5">
        <f t="shared" si="32"/>
        <v>9.4760532238322738E-3</v>
      </c>
      <c r="S45" s="1"/>
      <c r="T45" s="1">
        <f>SUM(OSRRefT22_6x_0)</f>
        <v>2400</v>
      </c>
      <c r="U45" s="1"/>
      <c r="V45" s="5">
        <f t="shared" si="33"/>
        <v>2.033174632757832E-2</v>
      </c>
      <c r="W45" s="1"/>
      <c r="X45" s="1">
        <f t="shared" si="34"/>
        <v>0</v>
      </c>
      <c r="Y45" s="1"/>
      <c r="Z45" s="5">
        <f t="shared" si="35"/>
        <v>0</v>
      </c>
    </row>
    <row r="46" spans="1:26" s="24" customFormat="1" hidden="1" outlineLevel="2" x14ac:dyDescent="0.25">
      <c r="A46" s="28"/>
      <c r="B46" s="11" t="str">
        <f>CONCATENATE("          ", "6273", " - ", "RENT")</f>
        <v xml:space="preserve">          6273 - RENT</v>
      </c>
      <c r="C46" s="11"/>
      <c r="D46" s="7">
        <v>800</v>
      </c>
      <c r="E46" s="2"/>
      <c r="F46" s="6">
        <f t="shared" si="28"/>
        <v>4.5929498220231943E-2</v>
      </c>
      <c r="G46" s="2"/>
      <c r="H46" s="7">
        <v>800</v>
      </c>
      <c r="I46" s="2"/>
      <c r="J46" s="6">
        <f t="shared" si="29"/>
        <v>2.6481297583581597E-2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2400</v>
      </c>
      <c r="Q46" s="2"/>
      <c r="R46" s="6">
        <f t="shared" si="32"/>
        <v>9.4760532238322738E-3</v>
      </c>
      <c r="S46" s="2"/>
      <c r="T46" s="7">
        <v>2400</v>
      </c>
      <c r="U46" s="2"/>
      <c r="V46" s="6">
        <f t="shared" si="33"/>
        <v>2.033174632757832E-2</v>
      </c>
      <c r="W46" s="2"/>
      <c r="X46" s="7">
        <f t="shared" si="34"/>
        <v>0</v>
      </c>
      <c r="Y46" s="2"/>
      <c r="Z46" s="6">
        <f t="shared" si="35"/>
        <v>0</v>
      </c>
    </row>
    <row r="47" spans="1:26" s="27" customFormat="1" outlineLevel="1" collapsed="1" x14ac:dyDescent="0.25">
      <c r="A47" s="29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SUM(OSRRefD22_7x_0)</f>
        <v>0</v>
      </c>
      <c r="E47" s="1"/>
      <c r="F47" s="5">
        <f t="shared" si="28"/>
        <v>0</v>
      </c>
      <c r="G47" s="1"/>
      <c r="H47" s="1">
        <f>SUM(OSRRefH22_7x_0)</f>
        <v>6562</v>
      </c>
      <c r="I47" s="1"/>
      <c r="J47" s="5">
        <f t="shared" si="29"/>
        <v>0.21721284342932803</v>
      </c>
      <c r="K47" s="1"/>
      <c r="L47" s="1">
        <f t="shared" si="30"/>
        <v>-6562</v>
      </c>
      <c r="M47" s="1"/>
      <c r="N47" s="5">
        <f t="shared" si="31"/>
        <v>-1</v>
      </c>
      <c r="O47" s="14"/>
      <c r="P47" s="1">
        <f>SUM(OSRRefP22_7x_0)</f>
        <v>122000.62</v>
      </c>
      <c r="Q47" s="1"/>
      <c r="R47" s="5">
        <f t="shared" si="32"/>
        <v>0.48170182019189006</v>
      </c>
      <c r="S47" s="1"/>
      <c r="T47" s="1">
        <f>SUM(OSRRefT22_7x_0)</f>
        <v>6562</v>
      </c>
      <c r="U47" s="1"/>
      <c r="V47" s="5">
        <f t="shared" si="33"/>
        <v>5.5590383083987054E-2</v>
      </c>
      <c r="W47" s="1"/>
      <c r="X47" s="1">
        <f t="shared" si="34"/>
        <v>115438.62</v>
      </c>
      <c r="Y47" s="1"/>
      <c r="Z47" s="5">
        <f t="shared" si="35"/>
        <v>17.591987199024686</v>
      </c>
    </row>
    <row r="48" spans="1:26" s="24" customFormat="1" hidden="1" outlineLevel="2" x14ac:dyDescent="0.25">
      <c r="A48" s="28"/>
      <c r="B48" s="11" t="str">
        <f>CONCATENATE("          ", "6373", " - ", "MAINTENANCE CONTRACTS")</f>
        <v xml:space="preserve">          6373 - MAINTENANCE CONTRACTS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122000.62</v>
      </c>
      <c r="Q48" s="2"/>
      <c r="R48" s="6">
        <f t="shared" si="32"/>
        <v>0.48170182019189006</v>
      </c>
      <c r="S48" s="2"/>
      <c r="T48" s="7"/>
      <c r="U48" s="2"/>
      <c r="V48" s="6">
        <f t="shared" si="33"/>
        <v>0</v>
      </c>
      <c r="W48" s="2"/>
      <c r="X48" s="7">
        <f t="shared" si="34"/>
        <v>122000.62</v>
      </c>
      <c r="Y48" s="2"/>
      <c r="Z48" s="6">
        <f t="shared" si="35"/>
        <v>0</v>
      </c>
    </row>
    <row r="49" spans="1:26" s="24" customFormat="1" hidden="1" outlineLevel="2" x14ac:dyDescent="0.25">
      <c r="A49" s="28"/>
      <c r="B49" s="11" t="str">
        <f>CONCATENATE("          ", "6375", " - ", "OUTSIDE REPAIRS &amp; MAINTENANCE")</f>
        <v xml:space="preserve">          6375 - OUTSIDE REPAIRS &amp; MAINTENANCE</v>
      </c>
      <c r="C49" s="11"/>
      <c r="D49" s="7"/>
      <c r="E49" s="2"/>
      <c r="F49" s="6">
        <f t="shared" si="28"/>
        <v>0</v>
      </c>
      <c r="G49" s="2"/>
      <c r="H49" s="7">
        <v>6562</v>
      </c>
      <c r="I49" s="2"/>
      <c r="J49" s="6">
        <f t="shared" si="29"/>
        <v>0.21721284342932803</v>
      </c>
      <c r="K49" s="2"/>
      <c r="L49" s="7">
        <f t="shared" si="30"/>
        <v>-6562</v>
      </c>
      <c r="M49" s="2"/>
      <c r="N49" s="6">
        <f t="shared" si="31"/>
        <v>-1</v>
      </c>
      <c r="O49" s="11"/>
      <c r="P49" s="7"/>
      <c r="Q49" s="2"/>
      <c r="R49" s="6">
        <f t="shared" si="32"/>
        <v>0</v>
      </c>
      <c r="S49" s="2"/>
      <c r="T49" s="7">
        <v>6562</v>
      </c>
      <c r="U49" s="2"/>
      <c r="V49" s="6">
        <f t="shared" si="33"/>
        <v>5.5590383083987054E-2</v>
      </c>
      <c r="W49" s="2"/>
      <c r="X49" s="7">
        <f t="shared" si="34"/>
        <v>-6562</v>
      </c>
      <c r="Y49" s="2"/>
      <c r="Z49" s="6">
        <f t="shared" si="35"/>
        <v>-1</v>
      </c>
    </row>
    <row r="50" spans="1:26" s="27" customFormat="1" outlineLevel="1" collapsed="1" x14ac:dyDescent="0.25">
      <c r="A50" s="29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SUM(OSRRefD22_8x_0)</f>
        <v>18.71</v>
      </c>
      <c r="E50" s="1"/>
      <c r="F50" s="5">
        <f t="shared" ref="F50:F53" si="36">IF(D$12=0,0,D50/D$12)</f>
        <v>1.0741761396256746E-3</v>
      </c>
      <c r="G50" s="1"/>
      <c r="H50" s="1">
        <f>SUM(OSRRefH22_8x_0)</f>
        <v>0</v>
      </c>
      <c r="I50" s="1"/>
      <c r="J50" s="5">
        <f t="shared" ref="J50:J53" si="37">IF(H$12=0,0,H50/H$12)</f>
        <v>0</v>
      </c>
      <c r="K50" s="1"/>
      <c r="L50" s="1">
        <f t="shared" ref="L50:L53" si="38">+D50-H50</f>
        <v>18.71</v>
      </c>
      <c r="M50" s="1"/>
      <c r="N50" s="5">
        <f t="shared" ref="N50:N53" si="39">IF(H50=0,0,L50/H50)</f>
        <v>0</v>
      </c>
      <c r="O50" s="14"/>
      <c r="P50" s="1">
        <f>SUM(OSRRefP22_8x_0)</f>
        <v>1976.66</v>
      </c>
      <c r="Q50" s="1"/>
      <c r="R50" s="5">
        <f t="shared" ref="R50:R53" si="40">IF(P$12=0,0,P50/P$12)</f>
        <v>7.8045564022584599E-3</v>
      </c>
      <c r="S50" s="1"/>
      <c r="T50" s="1">
        <f>SUM(OSRRefT22_8x_0)</f>
        <v>35183.15</v>
      </c>
      <c r="U50" s="1"/>
      <c r="V50" s="5">
        <f t="shared" ref="V50:V53" si="41">IF(T$12=0,0,T50/T$12)</f>
        <v>0.29805620033547381</v>
      </c>
      <c r="W50" s="1"/>
      <c r="X50" s="1">
        <f t="shared" ref="X50:X53" si="42">+P50-T50</f>
        <v>-33206.49</v>
      </c>
      <c r="Y50" s="1"/>
      <c r="Z50" s="5">
        <f t="shared" ref="Z50:Z53" si="43">IF(T50=0,0,X50/T50)</f>
        <v>-0.94381799241966668</v>
      </c>
    </row>
    <row r="51" spans="1:26" s="24" customFormat="1" hidden="1" outlineLevel="2" x14ac:dyDescent="0.25">
      <c r="A51" s="28"/>
      <c r="B51" s="11" t="str">
        <f>CONCATENATE("          ", "6241", " - ", "OFFICE EXPENSE")</f>
        <v xml:space="preserve">          6241 - OFFICE EXPENSE</v>
      </c>
      <c r="C51" s="11"/>
      <c r="D51" s="7">
        <v>18.71</v>
      </c>
      <c r="E51" s="2"/>
      <c r="F51" s="6">
        <f t="shared" si="36"/>
        <v>1.0741761396256746E-3</v>
      </c>
      <c r="G51" s="2"/>
      <c r="H51" s="7"/>
      <c r="I51" s="2"/>
      <c r="J51" s="6">
        <f t="shared" si="37"/>
        <v>0</v>
      </c>
      <c r="K51" s="2"/>
      <c r="L51" s="7">
        <f t="shared" si="38"/>
        <v>18.71</v>
      </c>
      <c r="M51" s="2"/>
      <c r="N51" s="6">
        <f t="shared" si="39"/>
        <v>0</v>
      </c>
      <c r="O51" s="11"/>
      <c r="P51" s="7">
        <v>1976.66</v>
      </c>
      <c r="Q51" s="2"/>
      <c r="R51" s="6">
        <f t="shared" si="40"/>
        <v>7.8045564022584599E-3</v>
      </c>
      <c r="S51" s="2"/>
      <c r="T51" s="7">
        <v>35183.15</v>
      </c>
      <c r="U51" s="2"/>
      <c r="V51" s="6">
        <f t="shared" si="41"/>
        <v>0.29805620033547381</v>
      </c>
      <c r="W51" s="2"/>
      <c r="X51" s="7">
        <f t="shared" si="42"/>
        <v>-33206.49</v>
      </c>
      <c r="Y51" s="2"/>
      <c r="Z51" s="6">
        <f t="shared" si="43"/>
        <v>-0.94381799241966668</v>
      </c>
    </row>
    <row r="52" spans="1:26" s="27" customFormat="1" outlineLevel="1" collapsed="1" x14ac:dyDescent="0.25">
      <c r="A52" s="29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SUM(OSRRefD22_9x_0)</f>
        <v>0</v>
      </c>
      <c r="E52" s="1"/>
      <c r="F52" s="5">
        <f t="shared" si="36"/>
        <v>0</v>
      </c>
      <c r="G52" s="1"/>
      <c r="H52" s="1">
        <f>SUM(OSRRefH22_9x_0)</f>
        <v>750</v>
      </c>
      <c r="I52" s="1"/>
      <c r="J52" s="5">
        <f t="shared" si="37"/>
        <v>2.4826216484607744E-2</v>
      </c>
      <c r="K52" s="1"/>
      <c r="L52" s="1">
        <f t="shared" si="38"/>
        <v>-750</v>
      </c>
      <c r="M52" s="1"/>
      <c r="N52" s="5">
        <f t="shared" si="39"/>
        <v>-1</v>
      </c>
      <c r="O52" s="14"/>
      <c r="P52" s="1">
        <f>SUM(OSRRefP22_9x_0)</f>
        <v>-163.30000000000001</v>
      </c>
      <c r="Q52" s="1"/>
      <c r="R52" s="5">
        <f t="shared" si="40"/>
        <v>-6.4476645477158764E-4</v>
      </c>
      <c r="S52" s="1"/>
      <c r="T52" s="1">
        <f>SUM(OSRRefT22_9x_0)</f>
        <v>1042.08</v>
      </c>
      <c r="U52" s="1"/>
      <c r="V52" s="5">
        <f t="shared" si="41"/>
        <v>8.8280442554345053E-3</v>
      </c>
      <c r="W52" s="1"/>
      <c r="X52" s="1">
        <f t="shared" si="42"/>
        <v>-1205.3799999999999</v>
      </c>
      <c r="Y52" s="1"/>
      <c r="Z52" s="5">
        <f t="shared" si="43"/>
        <v>-1.1567058191309687</v>
      </c>
    </row>
    <row r="53" spans="1:26" s="24" customFormat="1" hidden="1" outlineLevel="2" x14ac:dyDescent="0.25">
      <c r="A53" s="28"/>
      <c r="B53" s="11" t="str">
        <f>CONCATENATE("          ", "6309", " - ", "TELEPHONE")</f>
        <v xml:space="preserve">          6309 - TELEPHONE</v>
      </c>
      <c r="C53" s="11"/>
      <c r="D53" s="7">
        <v>0</v>
      </c>
      <c r="E53" s="2"/>
      <c r="F53" s="6">
        <f t="shared" si="36"/>
        <v>0</v>
      </c>
      <c r="G53" s="2"/>
      <c r="H53" s="7">
        <v>750</v>
      </c>
      <c r="I53" s="2"/>
      <c r="J53" s="6">
        <f t="shared" si="37"/>
        <v>2.4826216484607744E-2</v>
      </c>
      <c r="K53" s="2"/>
      <c r="L53" s="7">
        <f t="shared" si="38"/>
        <v>-750</v>
      </c>
      <c r="M53" s="2"/>
      <c r="N53" s="6">
        <f t="shared" si="39"/>
        <v>-1</v>
      </c>
      <c r="O53" s="11"/>
      <c r="P53" s="7">
        <v>-163.30000000000001</v>
      </c>
      <c r="Q53" s="2"/>
      <c r="R53" s="6">
        <f t="shared" si="40"/>
        <v>-6.4476645477158764E-4</v>
      </c>
      <c r="S53" s="2"/>
      <c r="T53" s="7">
        <v>1042.08</v>
      </c>
      <c r="U53" s="2"/>
      <c r="V53" s="6">
        <f t="shared" si="41"/>
        <v>8.8280442554345053E-3</v>
      </c>
      <c r="W53" s="2"/>
      <c r="X53" s="7">
        <f t="shared" si="42"/>
        <v>-1205.3799999999999</v>
      </c>
      <c r="Y53" s="2"/>
      <c r="Z53" s="6">
        <f t="shared" si="43"/>
        <v>-1.1567058191309687</v>
      </c>
    </row>
    <row r="54" spans="1:26" s="54" customFormat="1" x14ac:dyDescent="0.25">
      <c r="A54" s="37"/>
      <c r="B54" s="37"/>
      <c r="C54" s="37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collapsed="1" x14ac:dyDescent="0.25">
      <c r="A55" s="10"/>
      <c r="B55" s="26" t="s">
        <v>292</v>
      </c>
      <c r="C55" s="10"/>
      <c r="D55" s="4">
        <f>SUM(OSRRefD25x_0)</f>
        <v>1163.73</v>
      </c>
      <c r="E55" s="4"/>
      <c r="F55" s="12">
        <f t="shared" ref="F55:F56" si="44">IF(D$12=0,0,D55/D$12)</f>
        <v>6.6811918704788156E-2</v>
      </c>
      <c r="G55" s="4"/>
      <c r="H55" s="4">
        <f>SUM(OSRRefH25x_0)</f>
        <v>260</v>
      </c>
      <c r="I55" s="4"/>
      <c r="J55" s="12">
        <f t="shared" ref="J55:J56" si="45">IF(H$12=0,0,H55/H$12)</f>
        <v>8.6064217146640185E-3</v>
      </c>
      <c r="K55" s="4"/>
      <c r="L55" s="4">
        <f t="shared" ref="L55:L56" si="46">+D55-H55</f>
        <v>903.73</v>
      </c>
      <c r="M55" s="4"/>
      <c r="N55" s="12">
        <f t="shared" ref="N55:N56" si="47">IF(H55=0,0,L55/H55)</f>
        <v>3.4758846153846155</v>
      </c>
      <c r="O55" s="10"/>
      <c r="P55" s="4">
        <f>SUM(OSRRefP25x_0)</f>
        <v>2728.57</v>
      </c>
      <c r="Q55" s="4"/>
      <c r="R55" s="12">
        <f t="shared" ref="R55:R56" si="48">IF(P$12=0,0,P55/P$12)</f>
        <v>1.0773364393730013E-2</v>
      </c>
      <c r="S55" s="4"/>
      <c r="T55" s="4">
        <f>SUM(OSRRefT25x_0)</f>
        <v>750</v>
      </c>
      <c r="U55" s="4"/>
      <c r="V55" s="12">
        <f t="shared" ref="V55:V56" si="49">IF(T$12=0,0,T55/T$12)</f>
        <v>6.3536707273682252E-3</v>
      </c>
      <c r="W55" s="4"/>
      <c r="X55" s="4">
        <f t="shared" ref="X55:X56" si="50">+P55-T55</f>
        <v>1978.5700000000002</v>
      </c>
      <c r="Y55" s="4"/>
      <c r="Z55" s="12">
        <f t="shared" ref="Z55:Z56" si="51">IF(T55=0,0,X55/T55)</f>
        <v>2.6380933333333334</v>
      </c>
    </row>
    <row r="56" spans="1:26" s="24" customFormat="1" hidden="1" outlineLevel="1" x14ac:dyDescent="0.25">
      <c r="A56" s="44"/>
      <c r="B56" s="11" t="str">
        <f>CONCATENATE("          ", "9150", " - ", "MISC. INCOME")</f>
        <v xml:space="preserve">          9150 - MISC. INCOME</v>
      </c>
      <c r="C56" s="11"/>
      <c r="D56" s="2">
        <f>--1163.73</f>
        <v>1163.73</v>
      </c>
      <c r="E56" s="2"/>
      <c r="F56" s="19">
        <f t="shared" si="44"/>
        <v>6.6811918704788156E-2</v>
      </c>
      <c r="G56" s="2"/>
      <c r="H56" s="2">
        <f>--260</f>
        <v>260</v>
      </c>
      <c r="I56" s="2"/>
      <c r="J56" s="19">
        <f t="shared" si="45"/>
        <v>8.6064217146640185E-3</v>
      </c>
      <c r="K56" s="2"/>
      <c r="L56" s="2">
        <f t="shared" si="46"/>
        <v>903.73</v>
      </c>
      <c r="M56" s="2"/>
      <c r="N56" s="19">
        <f t="shared" si="47"/>
        <v>3.4758846153846155</v>
      </c>
      <c r="O56" s="11"/>
      <c r="P56" s="2">
        <f>--2728.57</f>
        <v>2728.57</v>
      </c>
      <c r="Q56" s="2"/>
      <c r="R56" s="19">
        <f t="shared" si="48"/>
        <v>1.0773364393730013E-2</v>
      </c>
      <c r="S56" s="2"/>
      <c r="T56" s="2">
        <f>--750</f>
        <v>750</v>
      </c>
      <c r="U56" s="2"/>
      <c r="V56" s="19">
        <f t="shared" si="49"/>
        <v>6.3536707273682252E-3</v>
      </c>
      <c r="W56" s="2"/>
      <c r="X56" s="2">
        <f t="shared" si="50"/>
        <v>1978.5700000000002</v>
      </c>
      <c r="Y56" s="2"/>
      <c r="Z56" s="19">
        <f t="shared" si="51"/>
        <v>2.6380933333333334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5" t="s">
        <v>276</v>
      </c>
      <c r="C58" s="25"/>
      <c r="D58" s="21">
        <f>+D17-D19+D55</f>
        <v>-0.15999999999939973</v>
      </c>
      <c r="E58" s="13"/>
      <c r="F58" s="22">
        <f>IF(D$12=0,0,D58/D$12)</f>
        <v>-9.1858996440119266E-6</v>
      </c>
      <c r="G58" s="13"/>
      <c r="H58" s="21">
        <f>+H17-H19+H55</f>
        <v>4742.8300000000017</v>
      </c>
      <c r="I58" s="13"/>
      <c r="J58" s="22">
        <f>IF(H$12=0,0,H58/H$12)</f>
        <v>0.15699536577292292</v>
      </c>
      <c r="K58" s="16"/>
      <c r="L58" s="21">
        <f>+D58-H58</f>
        <v>-4742.9900000000016</v>
      </c>
      <c r="M58" s="16"/>
      <c r="N58" s="22">
        <f>IF(H58=0,0,L58/H58)</f>
        <v>-1.0000337351328215</v>
      </c>
      <c r="O58" s="26"/>
      <c r="P58" s="21">
        <f>+P17-P19+P55</f>
        <v>67291.78</v>
      </c>
      <c r="Q58" s="13"/>
      <c r="R58" s="22">
        <f>IF(P$12=0,0,P58/P$12)</f>
        <v>0.26569187033600505</v>
      </c>
      <c r="S58" s="13"/>
      <c r="T58" s="21">
        <f>+T17-T19+T55</f>
        <v>14829.009999999995</v>
      </c>
      <c r="U58" s="13"/>
      <c r="V58" s="22">
        <f>IF(T$12=0,0,T58/T$12)</f>
        <v>0.12562486233713419</v>
      </c>
      <c r="W58" s="16"/>
      <c r="X58" s="21">
        <f>+P58-T58</f>
        <v>52462.770000000004</v>
      </c>
      <c r="Y58" s="16"/>
      <c r="Z58" s="22">
        <f>IF(T58=0,0,X58/T58)</f>
        <v>3.5378470983565338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1"/>
      <c r="B60" s="10" t="s">
        <v>127</v>
      </c>
      <c r="C60" s="10"/>
      <c r="D60" s="4">
        <v>-3895.43</v>
      </c>
      <c r="E60" s="4"/>
      <c r="F60" s="12">
        <f>IF(D$12=0,0,D60/D$12)</f>
        <v>-0.22364393156504764</v>
      </c>
      <c r="G60" s="4"/>
      <c r="H60" s="4">
        <v>7038.6</v>
      </c>
      <c r="I60" s="4"/>
      <c r="J60" s="12">
        <f>IF(H$12=0,0,H60/H$12)</f>
        <v>0.23298907646474679</v>
      </c>
      <c r="K60" s="4"/>
      <c r="L60" s="4">
        <f>+D60-H60</f>
        <v>-10934.03</v>
      </c>
      <c r="M60" s="4"/>
      <c r="N60" s="12">
        <f>IF(H60=0,0,L60/H60)</f>
        <v>-1.5534381837297191</v>
      </c>
      <c r="O60" s="10"/>
      <c r="P60" s="4">
        <v>31348.65</v>
      </c>
      <c r="Q60" s="4"/>
      <c r="R60" s="12">
        <f>IF(P$12=0,0,P60/P$12)</f>
        <v>0.12377561495637068</v>
      </c>
      <c r="S60" s="4"/>
      <c r="T60" s="4">
        <v>21867.87</v>
      </c>
      <c r="U60" s="4"/>
      <c r="V60" s="12">
        <f>IF(T$12=0,0,T60/T$12)</f>
        <v>0.18525499398519171</v>
      </c>
      <c r="W60" s="4"/>
      <c r="X60" s="4">
        <f>+P60-T60</f>
        <v>9480.7800000000025</v>
      </c>
      <c r="Y60" s="4"/>
      <c r="Z60" s="12">
        <f>IF(T60=0,0,X60/T60)</f>
        <v>0.43354839771774767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5" t="s">
        <v>125</v>
      </c>
      <c r="C62" s="25"/>
      <c r="D62" s="33">
        <f>+D58-D60</f>
        <v>3895.2700000000004</v>
      </c>
      <c r="E62" s="13"/>
      <c r="F62" s="35">
        <f>IF(D$12=0,0,D62/D$12)</f>
        <v>0.22363474566540362</v>
      </c>
      <c r="G62" s="13"/>
      <c r="H62" s="33">
        <f>+H58-H60</f>
        <v>-2295.7699999999986</v>
      </c>
      <c r="I62" s="13"/>
      <c r="J62" s="35">
        <f>IF(H$12=0,0,H62/H$12)</f>
        <v>-7.5993710691823854E-2</v>
      </c>
      <c r="K62" s="16"/>
      <c r="L62" s="33">
        <f>D62-H62</f>
        <v>6191.0399999999991</v>
      </c>
      <c r="M62" s="16"/>
      <c r="N62" s="35">
        <f>IF(H62=0,0,L62/H62)</f>
        <v>-2.6967161344559791</v>
      </c>
      <c r="O62" s="26"/>
      <c r="P62" s="33">
        <f>+P58-P60</f>
        <v>35943.129999999997</v>
      </c>
      <c r="Q62" s="13"/>
      <c r="R62" s="35">
        <f>IF(P$12=0,0,P62/P$12)</f>
        <v>0.14191625537963437</v>
      </c>
      <c r="S62" s="13"/>
      <c r="T62" s="33">
        <f>+T58-T60</f>
        <v>-7038.8600000000042</v>
      </c>
      <c r="U62" s="13"/>
      <c r="V62" s="35">
        <f>IF(T$12=0,0,T62/T$12)</f>
        <v>-5.9630131648057506E-2</v>
      </c>
      <c r="W62" s="16"/>
      <c r="X62" s="33">
        <f>P62-T62</f>
        <v>42981.990000000005</v>
      </c>
      <c r="Y62" s="16"/>
      <c r="Z62" s="35">
        <f>IF(T62=0,0,X62/T62)</f>
        <v>-6.1063851248639667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5" t="s">
        <v>293</v>
      </c>
      <c r="C65" s="25"/>
      <c r="D65" s="31">
        <f>SUM(D62:D64)</f>
        <v>3895.2700000000004</v>
      </c>
      <c r="E65" s="13"/>
      <c r="F65" s="32">
        <f>IF(D$12=0,0,D65/D$12)</f>
        <v>0.22363474566540362</v>
      </c>
      <c r="G65" s="13"/>
      <c r="H65" s="31">
        <f>SUM(H62:H64)</f>
        <v>-2295.7699999999986</v>
      </c>
      <c r="I65" s="13"/>
      <c r="J65" s="32">
        <f>IF(H$12=0,0,H65/H$12)</f>
        <v>-7.5993710691823854E-2</v>
      </c>
      <c r="K65" s="16"/>
      <c r="L65" s="31">
        <f>+D65-H65</f>
        <v>6191.0399999999991</v>
      </c>
      <c r="M65" s="16"/>
      <c r="N65" s="32">
        <f>IF(H65=0,0,L65/H65)</f>
        <v>-2.6967161344559791</v>
      </c>
      <c r="O65" s="26"/>
      <c r="P65" s="31">
        <f>SUM(P62:P64)</f>
        <v>35943.129999999997</v>
      </c>
      <c r="Q65" s="13"/>
      <c r="R65" s="32">
        <f>IF(P$12=0,0,P65/P$12)</f>
        <v>0.14191625537963437</v>
      </c>
      <c r="S65" s="13"/>
      <c r="T65" s="31">
        <f>SUM(T62:T64)</f>
        <v>-7038.8600000000042</v>
      </c>
      <c r="U65" s="13"/>
      <c r="V65" s="32">
        <f>IF(T$12=0,0,T65/T$12)</f>
        <v>-5.9630131648057506E-2</v>
      </c>
      <c r="W65" s="16"/>
      <c r="X65" s="31">
        <f>+P65-T65</f>
        <v>42981.990000000005</v>
      </c>
      <c r="Y65" s="16"/>
      <c r="Z65" s="32">
        <f>IF(T65=0,0,X65/T65)</f>
        <v>-6.1063851248639667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6" x14ac:dyDescent="0.25">
      <c r="A67" s="9"/>
      <c r="B67" s="58">
        <v>44481.985668518515</v>
      </c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53" t="s">
        <v>56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2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9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9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5" t="s">
        <v>23</v>
      </c>
    </row>
    <row r="3" spans="1:26" x14ac:dyDescent="0.25">
      <c r="D3" s="55" t="s">
        <v>236</v>
      </c>
      <c r="E3" s="17"/>
      <c r="F3" s="46"/>
      <c r="G3" s="17"/>
      <c r="H3" s="17"/>
      <c r="I3" s="17"/>
      <c r="J3" s="38"/>
      <c r="K3" s="17"/>
      <c r="L3" s="17"/>
      <c r="M3" s="17"/>
      <c r="N3" s="46"/>
      <c r="O3" s="56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7"/>
      <c r="F4" s="46"/>
      <c r="G4" s="17"/>
      <c r="H4" s="17"/>
      <c r="I4" s="17"/>
      <c r="J4" s="38"/>
      <c r="K4" s="17"/>
      <c r="L4" s="17"/>
      <c r="M4" s="17"/>
      <c r="N4" s="46"/>
      <c r="O4" s="56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6"/>
      <c r="G5" s="17"/>
      <c r="H5" s="17"/>
      <c r="I5" s="17"/>
      <c r="J5" s="38"/>
      <c r="K5" s="17"/>
      <c r="L5" s="17"/>
      <c r="M5" s="17"/>
      <c r="N5" s="46"/>
      <c r="O5" s="56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6"/>
      <c r="G6" s="17"/>
      <c r="H6" s="17"/>
      <c r="I6" s="17"/>
      <c r="J6" s="38"/>
      <c r="K6" s="17"/>
      <c r="L6" s="17"/>
      <c r="M6" s="17"/>
      <c r="N6" s="46"/>
      <c r="O6" s="60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291</v>
      </c>
      <c r="E9" s="15"/>
      <c r="F9" s="39"/>
      <c r="G9" s="15"/>
      <c r="H9" s="15"/>
      <c r="I9" s="15"/>
      <c r="J9" s="48"/>
      <c r="K9" s="15"/>
      <c r="L9" s="15"/>
      <c r="M9" s="15"/>
      <c r="N9" s="39"/>
      <c r="P9" s="15" t="s">
        <v>39</v>
      </c>
      <c r="Q9" s="15"/>
      <c r="R9" s="39"/>
      <c r="S9" s="15"/>
      <c r="T9" s="15"/>
      <c r="U9" s="15"/>
      <c r="V9" s="48"/>
      <c r="W9" s="15"/>
      <c r="X9" s="15"/>
      <c r="Y9" s="15"/>
      <c r="Z9" s="39"/>
    </row>
    <row r="10" spans="1:26" x14ac:dyDescent="0.25">
      <c r="A10" s="10"/>
      <c r="B10" s="59"/>
      <c r="C10" s="10"/>
      <c r="D10" s="43" t="s">
        <v>57</v>
      </c>
      <c r="E10" s="34"/>
      <c r="F10" s="36" t="s">
        <v>40</v>
      </c>
      <c r="G10" s="34"/>
      <c r="H10" s="50" t="s">
        <v>237</v>
      </c>
      <c r="I10" s="34"/>
      <c r="J10" s="36" t="s">
        <v>40</v>
      </c>
      <c r="K10" s="10"/>
      <c r="L10" s="43" t="s">
        <v>126</v>
      </c>
      <c r="M10" s="10"/>
      <c r="N10" s="36" t="s">
        <v>257</v>
      </c>
      <c r="O10" s="10"/>
      <c r="P10" s="61" t="s">
        <v>57</v>
      </c>
      <c r="Q10" s="34"/>
      <c r="R10" s="36" t="s">
        <v>40</v>
      </c>
      <c r="S10" s="34"/>
      <c r="T10" s="50" t="s">
        <v>237</v>
      </c>
      <c r="U10" s="34"/>
      <c r="V10" s="36" t="s">
        <v>40</v>
      </c>
      <c r="W10" s="10"/>
      <c r="X10" s="43" t="s">
        <v>126</v>
      </c>
      <c r="Y10" s="10"/>
      <c r="Z10" s="36" t="s">
        <v>257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4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125</v>
      </c>
      <c r="C31" s="25"/>
      <c r="D31" s="33" t="e">
        <f ca="1">+D27-D29</f>
        <v>#NAME?</v>
      </c>
      <c r="E31" s="13"/>
      <c r="F31" s="35" t="e">
        <f ca="1">IF(D$12=0,0,D31/D$12)</f>
        <v>#NAME?</v>
      </c>
      <c r="G31" s="13"/>
      <c r="H31" s="33" t="e">
        <f ca="1">+H27-H29</f>
        <v>#NAME?</v>
      </c>
      <c r="I31" s="13"/>
      <c r="J31" s="35" t="e">
        <f ca="1">IF(H$12=0,0,H31/H$12)</f>
        <v>#NAME?</v>
      </c>
      <c r="K31" s="16"/>
      <c r="L31" s="33" t="e">
        <f ca="1">D31-H31</f>
        <v>#NAME?</v>
      </c>
      <c r="M31" s="16"/>
      <c r="N31" s="35" t="e">
        <f ca="1">IF(H31=0,0,L31/H31)</f>
        <v>#NAME?</v>
      </c>
      <c r="O31" s="26"/>
      <c r="P31" s="33" t="e">
        <f ca="1">+P27-P29</f>
        <v>#NAME?</v>
      </c>
      <c r="Q31" s="13"/>
      <c r="R31" s="35" t="e">
        <f ca="1">IF(P$12=0,0,P31/P$12)</f>
        <v>#NAME?</v>
      </c>
      <c r="S31" s="13"/>
      <c r="T31" s="33" t="e">
        <f ca="1">+T27-T29</f>
        <v>#NAME?</v>
      </c>
      <c r="U31" s="13"/>
      <c r="V31" s="35" t="e">
        <f ca="1">IF(T$12=0,0,T31/T$12)</f>
        <v>#NAME?</v>
      </c>
      <c r="W31" s="16"/>
      <c r="X31" s="33" t="e">
        <f ca="1">P31-T31</f>
        <v>#NAME?</v>
      </c>
      <c r="Y31" s="16"/>
      <c r="Z31" s="35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293</v>
      </c>
      <c r="C36" s="25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6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3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2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3362</vt:i4>
      </vt:variant>
    </vt:vector>
  </HeadingPairs>
  <TitlesOfParts>
    <vt:vector size="3459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'414'!OSRRefD13x_0</vt:lpstr>
      <vt:lpstr>'415'!OSRRefD13x_0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'321'!OSRRefD22_10x_0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'Div 2'!OSRRefD22_10x_0</vt:lpstr>
      <vt:lpstr>'Div 3'!OSRRefD22_10x_0</vt:lpstr>
      <vt:lpstr>'Div 4'!OSRRefD22_10x_0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'315'!OSRRefD22_11x_0</vt:lpstr>
      <vt:lpstr>'316'!OSRRefD22_11x_0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Summary!OSRRefD22_11x_0</vt:lpstr>
      <vt:lpstr>'300'!OSRRefD22_12x_0</vt:lpstr>
      <vt:lpstr>'300 &amp; 317'!OSRRefD22_12x_0</vt:lpstr>
      <vt:lpstr>'301'!OSRRefD22_12x_0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'325'!OSRRefD22_12x_0</vt:lpstr>
      <vt:lpstr>'326'!OSRRefD22_12x_0</vt:lpstr>
      <vt:lpstr>'331'!OSRRefD22_12x_0</vt:lpstr>
      <vt:lpstr>'405'!OSRRefD22_12x_0</vt:lpstr>
      <vt:lpstr>'411'!OSRRefD22_12x_0</vt:lpstr>
      <vt:lpstr>'415'!OSRRefD22_12x_0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'325'!OSRRefD22_13x_0</vt:lpstr>
      <vt:lpstr>'326'!OSRRefD22_13x_0</vt:lpstr>
      <vt:lpstr>'331'!OSRRefD22_13x_0</vt:lpstr>
      <vt:lpstr>'405'!OSRRefD22_13x_0</vt:lpstr>
      <vt:lpstr>'411'!OSRRefD22_13x_0</vt:lpstr>
      <vt:lpstr>'415'!OSRRefD22_13x_0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'326'!OSRRefD22_14x_0</vt:lpstr>
      <vt:lpstr>'331'!OSRRefD22_14x_0</vt:lpstr>
      <vt:lpstr>'411'!OSRRefD22_14x_0</vt:lpstr>
      <vt:lpstr>'415'!OSRRefD22_14x_0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 &amp; 491'!OSRRefD22_15x_0</vt:lpstr>
      <vt:lpstr>'326'!OSRRefD22_15x_0</vt:lpstr>
      <vt:lpstr>'331'!OSRRefD22_15x_0</vt:lpstr>
      <vt:lpstr>'415'!OSRRefD22_15x_0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 &amp; 491'!OSRRefD22_16x_0</vt:lpstr>
      <vt:lpstr>'331'!OSRRefD22_16x_0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 &amp; 491'!OSRRefD22_17x_0</vt:lpstr>
      <vt:lpstr>'331'!OSRRefD22_17x_0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'491'!OSRRefD22_19x_0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'Div 3'!OSRRefD22_22x_0</vt:lpstr>
      <vt:lpstr>'Div 4'!OSRRefD22_22x_0</vt:lpstr>
      <vt:lpstr>Summary!OSRRefD22_22x_0</vt:lpstr>
      <vt:lpstr>'Div 3'!OSRRefD22_23x_0</vt:lpstr>
      <vt:lpstr>Summary!OSRRefD22_23x_0</vt:lpstr>
      <vt:lpstr>Summary!OSRRefD22_24x_0</vt:lpstr>
      <vt:lpstr>Summary!OSRRefD22_25x_0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'413'!OSRRefD22_5x_0</vt:lpstr>
      <vt:lpstr>'415'!OSRRefD22_5x_0</vt:lpstr>
      <vt:lpstr>'418'!OSRRefD22_5x_0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'415'!OSRRefD22_6x_0</vt:lpstr>
      <vt:lpstr>'418'!OSRRefD22_6x_0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'415'!OSRRefD22_7x_0</vt:lpstr>
      <vt:lpstr>'418'!OSRRefD22_7x_0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'415'!OSRRefD25x_0</vt:lpstr>
      <vt:lpstr>'418'!OSRRefD25x_0</vt:lpstr>
      <vt:lpstr>'423'!OSRRefD25x_0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'414'!OSRRefH13x_0</vt:lpstr>
      <vt:lpstr>'415'!OSRRefH13x_0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'321'!OSRRefH22_10x_0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'Div 2'!OSRRefH22_10x_0</vt:lpstr>
      <vt:lpstr>'Div 3'!OSRRefH22_10x_0</vt:lpstr>
      <vt:lpstr>'Div 4'!OSRRefH22_10x_0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'315'!OSRRefH22_11x_0</vt:lpstr>
      <vt:lpstr>'316'!OSRRefH22_11x_0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Summary!OSRRefH22_11x_0</vt:lpstr>
      <vt:lpstr>'300'!OSRRefH22_12x_0</vt:lpstr>
      <vt:lpstr>'300 &amp; 317'!OSRRefH22_12x_0</vt:lpstr>
      <vt:lpstr>'301'!OSRRefH22_12x_0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'325'!OSRRefH22_12x_0</vt:lpstr>
      <vt:lpstr>'326'!OSRRefH22_12x_0</vt:lpstr>
      <vt:lpstr>'331'!OSRRefH22_12x_0</vt:lpstr>
      <vt:lpstr>'405'!OSRRefH22_12x_0</vt:lpstr>
      <vt:lpstr>'411'!OSRRefH22_12x_0</vt:lpstr>
      <vt:lpstr>'415'!OSRRefH22_12x_0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'325'!OSRRefH22_13x_0</vt:lpstr>
      <vt:lpstr>'326'!OSRRefH22_13x_0</vt:lpstr>
      <vt:lpstr>'331'!OSRRefH22_13x_0</vt:lpstr>
      <vt:lpstr>'405'!OSRRefH22_13x_0</vt:lpstr>
      <vt:lpstr>'411'!OSRRefH22_13x_0</vt:lpstr>
      <vt:lpstr>'415'!OSRRefH22_13x_0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'326'!OSRRefH22_14x_0</vt:lpstr>
      <vt:lpstr>'331'!OSRRefH22_14x_0</vt:lpstr>
      <vt:lpstr>'411'!OSRRefH22_14x_0</vt:lpstr>
      <vt:lpstr>'415'!OSRRefH22_14x_0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 &amp; 491'!OSRRefH22_15x_0</vt:lpstr>
      <vt:lpstr>'326'!OSRRefH22_15x_0</vt:lpstr>
      <vt:lpstr>'331'!OSRRefH22_15x_0</vt:lpstr>
      <vt:lpstr>'415'!OSRRefH22_15x_0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 &amp; 491'!OSRRefH22_16x_0</vt:lpstr>
      <vt:lpstr>'331'!OSRRefH22_16x_0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 &amp; 491'!OSRRefH22_17x_0</vt:lpstr>
      <vt:lpstr>'331'!OSRRefH22_17x_0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'491'!OSRRefH22_19x_0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'Div 3'!OSRRefH22_22x_0</vt:lpstr>
      <vt:lpstr>'Div 4'!OSRRefH22_22x_0</vt:lpstr>
      <vt:lpstr>Summary!OSRRefH22_22x_0</vt:lpstr>
      <vt:lpstr>'Div 3'!OSRRefH22_23x_0</vt:lpstr>
      <vt:lpstr>Summary!OSRRefH22_23x_0</vt:lpstr>
      <vt:lpstr>Summary!OSRRefH22_24x_0</vt:lpstr>
      <vt:lpstr>Summary!OSRRefH22_25x_0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'413'!OSRRefH22_5x_0</vt:lpstr>
      <vt:lpstr>'415'!OSRRefH22_5x_0</vt:lpstr>
      <vt:lpstr>'418'!OSRRefH22_5x_0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'415'!OSRRefH22_6x_0</vt:lpstr>
      <vt:lpstr>'418'!OSRRefH22_6x_0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'415'!OSRRefH22_7x_0</vt:lpstr>
      <vt:lpstr>'418'!OSRRefH22_7x_0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'415'!OSRRefH25x_0</vt:lpstr>
      <vt:lpstr>'418'!OSRRefH25x_0</vt:lpstr>
      <vt:lpstr>'423'!OSRRefH25x_0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'414'!OSRRefP13x_0</vt:lpstr>
      <vt:lpstr>'415'!OSRRefP13x_0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'321'!OSRRefP22_10x_0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'Div 2'!OSRRefP22_10x_0</vt:lpstr>
      <vt:lpstr>'Div 3'!OSRRefP22_10x_0</vt:lpstr>
      <vt:lpstr>'Div 4'!OSRRefP22_10x_0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'315'!OSRRefP22_11x_0</vt:lpstr>
      <vt:lpstr>'316'!OSRRefP22_11x_0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Summary!OSRRefP22_11x_0</vt:lpstr>
      <vt:lpstr>'300'!OSRRefP22_12x_0</vt:lpstr>
      <vt:lpstr>'300 &amp; 317'!OSRRefP22_12x_0</vt:lpstr>
      <vt:lpstr>'301'!OSRRefP22_12x_0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'325'!OSRRefP22_12x_0</vt:lpstr>
      <vt:lpstr>'326'!OSRRefP22_12x_0</vt:lpstr>
      <vt:lpstr>'331'!OSRRefP22_12x_0</vt:lpstr>
      <vt:lpstr>'405'!OSRRefP22_12x_0</vt:lpstr>
      <vt:lpstr>'411'!OSRRefP22_12x_0</vt:lpstr>
      <vt:lpstr>'415'!OSRRefP22_12x_0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'325'!OSRRefP22_13x_0</vt:lpstr>
      <vt:lpstr>'326'!OSRRefP22_13x_0</vt:lpstr>
      <vt:lpstr>'331'!OSRRefP22_13x_0</vt:lpstr>
      <vt:lpstr>'405'!OSRRefP22_13x_0</vt:lpstr>
      <vt:lpstr>'411'!OSRRefP22_13x_0</vt:lpstr>
      <vt:lpstr>'415'!OSRRefP22_13x_0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'326'!OSRRefP22_14x_0</vt:lpstr>
      <vt:lpstr>'331'!OSRRefP22_14x_0</vt:lpstr>
      <vt:lpstr>'411'!OSRRefP22_14x_0</vt:lpstr>
      <vt:lpstr>'415'!OSRRefP22_14x_0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 &amp; 491'!OSRRefP22_15x_0</vt:lpstr>
      <vt:lpstr>'326'!OSRRefP22_15x_0</vt:lpstr>
      <vt:lpstr>'331'!OSRRefP22_15x_0</vt:lpstr>
      <vt:lpstr>'415'!OSRRefP22_15x_0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 &amp; 491'!OSRRefP22_16x_0</vt:lpstr>
      <vt:lpstr>'331'!OSRRefP22_16x_0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 &amp; 491'!OSRRefP22_17x_0</vt:lpstr>
      <vt:lpstr>'331'!OSRRefP22_17x_0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'491'!OSRRefP22_19x_0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'Div 3'!OSRRefP22_22x_0</vt:lpstr>
      <vt:lpstr>'Div 4'!OSRRefP22_22x_0</vt:lpstr>
      <vt:lpstr>Summary!OSRRefP22_22x_0</vt:lpstr>
      <vt:lpstr>'Div 3'!OSRRefP22_23x_0</vt:lpstr>
      <vt:lpstr>Summary!OSRRefP22_23x_0</vt:lpstr>
      <vt:lpstr>Summary!OSRRefP22_24x_0</vt:lpstr>
      <vt:lpstr>Summary!OSRRefP22_25x_0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'413'!OSRRefP22_5x_0</vt:lpstr>
      <vt:lpstr>'415'!OSRRefP22_5x_0</vt:lpstr>
      <vt:lpstr>'418'!OSRRefP22_5x_0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'415'!OSRRefP22_6x_0</vt:lpstr>
      <vt:lpstr>'418'!OSRRefP22_6x_0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'415'!OSRRefP22_7x_0</vt:lpstr>
      <vt:lpstr>'418'!OSRRefP22_7x_0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'415'!OSRRefP25x_0</vt:lpstr>
      <vt:lpstr>'418'!OSRRefP25x_0</vt:lpstr>
      <vt:lpstr>'423'!OSRRefP25x_0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'414'!OSRRefT13x_0</vt:lpstr>
      <vt:lpstr>'415'!OSRRefT13x_0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'321'!OSRRefT22_10x_0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'Div 2'!OSRRefT22_10x_0</vt:lpstr>
      <vt:lpstr>'Div 3'!OSRRefT22_10x_0</vt:lpstr>
      <vt:lpstr>'Div 4'!OSRRefT22_10x_0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'315'!OSRRefT22_11x_0</vt:lpstr>
      <vt:lpstr>'316'!OSRRefT22_11x_0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Summary!OSRRefT22_11x_0</vt:lpstr>
      <vt:lpstr>'300'!OSRRefT22_12x_0</vt:lpstr>
      <vt:lpstr>'300 &amp; 317'!OSRRefT22_12x_0</vt:lpstr>
      <vt:lpstr>'301'!OSRRefT22_12x_0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'325'!OSRRefT22_12x_0</vt:lpstr>
      <vt:lpstr>'326'!OSRRefT22_12x_0</vt:lpstr>
      <vt:lpstr>'331'!OSRRefT22_12x_0</vt:lpstr>
      <vt:lpstr>'405'!OSRRefT22_12x_0</vt:lpstr>
      <vt:lpstr>'411'!OSRRefT22_12x_0</vt:lpstr>
      <vt:lpstr>'415'!OSRRefT22_12x_0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'325'!OSRRefT22_13x_0</vt:lpstr>
      <vt:lpstr>'326'!OSRRefT22_13x_0</vt:lpstr>
      <vt:lpstr>'331'!OSRRefT22_13x_0</vt:lpstr>
      <vt:lpstr>'405'!OSRRefT22_13x_0</vt:lpstr>
      <vt:lpstr>'411'!OSRRefT22_13x_0</vt:lpstr>
      <vt:lpstr>'415'!OSRRefT22_13x_0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'326'!OSRRefT22_14x_0</vt:lpstr>
      <vt:lpstr>'331'!OSRRefT22_14x_0</vt:lpstr>
      <vt:lpstr>'411'!OSRRefT22_14x_0</vt:lpstr>
      <vt:lpstr>'415'!OSRRefT22_14x_0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 &amp; 491'!OSRRefT22_15x_0</vt:lpstr>
      <vt:lpstr>'326'!OSRRefT22_15x_0</vt:lpstr>
      <vt:lpstr>'331'!OSRRefT22_15x_0</vt:lpstr>
      <vt:lpstr>'415'!OSRRefT22_15x_0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 &amp; 491'!OSRRefT22_16x_0</vt:lpstr>
      <vt:lpstr>'331'!OSRRefT22_16x_0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 &amp; 491'!OSRRefT22_17x_0</vt:lpstr>
      <vt:lpstr>'331'!OSRRefT22_17x_0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'491'!OSRRefT22_19x_0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'Div 3'!OSRRefT22_22x_0</vt:lpstr>
      <vt:lpstr>'Div 4'!OSRRefT22_22x_0</vt:lpstr>
      <vt:lpstr>Summary!OSRRefT22_22x_0</vt:lpstr>
      <vt:lpstr>'Div 3'!OSRRefT22_23x_0</vt:lpstr>
      <vt:lpstr>Summary!OSRRefT22_23x_0</vt:lpstr>
      <vt:lpstr>Summary!OSRRefT22_24x_0</vt:lpstr>
      <vt:lpstr>Summary!OSRRefT22_25x_0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'413'!OSRRefT22_5x_0</vt:lpstr>
      <vt:lpstr>'415'!OSRRefT22_5x_0</vt:lpstr>
      <vt:lpstr>'418'!OSRRefT22_5x_0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'415'!OSRRefT22_6x_0</vt:lpstr>
      <vt:lpstr>'418'!OSRRefT22_6x_0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'415'!OSRRefT22_7x_0</vt:lpstr>
      <vt:lpstr>'418'!OSRRefT22_7x_0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'415'!OSRRefT25x_0</vt:lpstr>
      <vt:lpstr>'418'!OSRRefT25x_0</vt:lpstr>
      <vt:lpstr>'423'!OSRRefT25x_0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2021-10-12T23:41:30Z</dcterms:created>
  <dcterms:modified xsi:type="dcterms:W3CDTF">2021-10-12T23:44:42Z</dcterms:modified>
</cp:coreProperties>
</file>